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8" windowWidth="18192" windowHeight="10980" tabRatio="840" activeTab="0"/>
  </bookViews>
  <sheets>
    <sheet name="Таблица 1 перечень МКД" sheetId="1" r:id="rId1"/>
    <sheet name="Таблица 2, 3 виды ремонта" sheetId="2" r:id="rId2"/>
  </sheets>
  <definedNames>
    <definedName name="_xlnm.Print_Titles" localSheetId="0">'Таблица 1 перечень МКД'!$18:$18</definedName>
    <definedName name="_xlnm.Print_Titles" localSheetId="1">'Таблица 2, 3 виды ремонта'!$9:$9</definedName>
    <definedName name="_xlnm.Print_Area" localSheetId="0">'Таблица 1 перечень МКД'!$A$1:$Q$290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<sst xmlns="http://schemas.openxmlformats.org/spreadsheetml/2006/main" count="2043" uniqueCount="621">
  <si>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</si>
  <si>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</si>
  <si>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</si>
  <si>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</si>
  <si>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</si>
  <si>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</si>
  <si>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</si>
  <si>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</si>
  <si>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</si>
  <si>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</si>
  <si>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</si>
  <si>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</si>
  <si>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</si>
  <si>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</si>
  <si>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</si>
  <si>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</si>
  <si>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</si>
  <si>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</si>
  <si>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</si>
  <si>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</si>
  <si>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</si>
  <si>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</si>
  <si>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</si>
  <si>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</si>
  <si>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</si>
  <si>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</si>
  <si>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</si>
  <si>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</si>
  <si>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</si>
  <si>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</si>
  <si>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</si>
  <si>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</si>
  <si>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</si>
  <si>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</si>
  <si>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</si>
  <si>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</si>
  <si>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</si>
  <si>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</si>
  <si>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</si>
  <si>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</si>
  <si>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</si>
  <si>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</si>
  <si>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</si>
  <si>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</si>
  <si>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</si>
  <si>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</si>
  <si>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</si>
  <si>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</si>
  <si>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</si>
  <si>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</si>
  <si>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</si>
  <si>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</si>
  <si>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</si>
  <si>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</si>
  <si>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</si>
  <si>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</si>
  <si>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</si>
  <si>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</si>
  <si>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</si>
  <si>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</si>
  <si>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</si>
  <si>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</si>
  <si>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</si>
  <si>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59.</t>
  </si>
  <si>
    <t>60.</t>
  </si>
  <si>
    <t>61.</t>
  </si>
  <si>
    <t>62.</t>
  </si>
  <si>
    <t>65.</t>
  </si>
  <si>
    <t>66.</t>
  </si>
  <si>
    <t>67.</t>
  </si>
  <si>
    <t>68.</t>
  </si>
  <si>
    <t>69.</t>
  </si>
  <si>
    <t>70.</t>
  </si>
  <si>
    <t>71.</t>
  </si>
  <si>
    <t>72.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</si>
  <si>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</si>
  <si>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</si>
  <si>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</si>
  <si>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</si>
  <si>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</si>
  <si>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</si>
  <si>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</si>
  <si>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</si>
  <si>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</si>
  <si>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</si>
  <si>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</si>
  <si>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</si>
  <si>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-</t>
  </si>
  <si>
    <t>панельные</t>
  </si>
  <si>
    <t>кирпичные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</si>
  <si>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</si>
  <si>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</si>
  <si>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</si>
  <si>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</si>
  <si>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</si>
  <si>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</si>
  <si>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</si>
  <si>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завершения последнего капитального ремонта</t>
  </si>
  <si>
    <t>до 1917</t>
  </si>
  <si>
    <t>12.2016</t>
  </si>
  <si>
    <t>смешанные</t>
  </si>
  <si>
    <t>87.</t>
  </si>
  <si>
    <t>88.</t>
  </si>
  <si>
    <t>89.</t>
  </si>
  <si>
    <t>90.</t>
  </si>
  <si>
    <t>91.</t>
  </si>
  <si>
    <t>93.</t>
  </si>
  <si>
    <t>94.</t>
  </si>
  <si>
    <t>95.</t>
  </si>
  <si>
    <t>96.</t>
  </si>
  <si>
    <t>97.</t>
  </si>
  <si>
    <t>98.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</si>
  <si>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</si>
  <si>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</si>
  <si>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</si>
  <si>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</si>
  <si>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</si>
  <si>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</si>
  <si>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</si>
  <si>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</si>
  <si>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</si>
  <si>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</si>
  <si>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</si>
  <si>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</si>
  <si>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</si>
  <si>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</si>
  <si>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</si>
  <si>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</si>
  <si>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</si>
  <si>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</si>
  <si>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</si>
  <si>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</si>
  <si>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</si>
  <si>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</si>
  <si>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</si>
  <si>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</si>
  <si>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</si>
  <si>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</si>
  <si>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</si>
  <si>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</si>
  <si>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</si>
  <si>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</si>
  <si>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</si>
  <si>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</si>
  <si>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133.</t>
  </si>
  <si>
    <t>134.</t>
  </si>
  <si>
    <t>135.</t>
  </si>
  <si>
    <t>137.</t>
  </si>
  <si>
    <t>139.</t>
  </si>
  <si>
    <t>141.</t>
  </si>
  <si>
    <t>142.</t>
  </si>
  <si>
    <t>143.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</si>
  <si>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</si>
  <si>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</si>
  <si>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</si>
  <si>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</si>
  <si>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</si>
  <si>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</si>
  <si>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</si>
  <si>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</si>
  <si>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</si>
  <si>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</si>
  <si>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Таблица № 1</t>
  </si>
  <si>
    <t>Перечень многоквартирных домов, общее имущество которых подлежит капитальному ремонту</t>
  </si>
  <si>
    <t>Краткосрочный план реализации в 2016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</si>
  <si>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 xml:space="preserve">к постановлению администрации </t>
  </si>
  <si>
    <t xml:space="preserve">муниципального образования </t>
  </si>
  <si>
    <t xml:space="preserve">«Город Саратов» </t>
  </si>
  <si>
    <t>Приложение</t>
  </si>
  <si>
    <t>шлакоблочные</t>
  </si>
  <si>
    <t>Таблица № 2</t>
  </si>
  <si>
    <t>Реестр многоквартирных домов, которые подлежат капитальному ремонту</t>
  </si>
  <si>
    <t>№ п\п</t>
  </si>
  <si>
    <t>Стоимость капитального ремонта, 
всего</t>
  </si>
  <si>
    <t>Виды услуг и (или) работ, установленные частью 1 статьи 166 Жилищного кодекса Российской Федерации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</si>
  <si>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</si>
  <si>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>ремонт внутридомовых инженерных систем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</si>
  <si>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</si>
  <si>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</si>
  <si>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</si>
  <si>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</t>
  </si>
  <si>
    <t>ремонт фундамента МКД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</si>
  <si>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</si>
  <si>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</si>
  <si>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</si>
  <si>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</si>
  <si>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>электро-снабжения</t>
  </si>
  <si>
    <t>тепло-снабжения</t>
  </si>
  <si>
    <t>горячего водо-снабжения</t>
  </si>
  <si>
    <t>холодного водо-снабжения</t>
  </si>
  <si>
    <t>водо-отведения</t>
  </si>
  <si>
    <t>ед.</t>
  </si>
  <si>
    <t xml:space="preserve">руб. </t>
  </si>
  <si>
    <t>Муниципальное образование «Город Саратов»</t>
  </si>
  <si>
    <t>Таблица № 3</t>
  </si>
  <si>
    <t xml:space="preserve"> Планируемые показатели выполнения работ по капитальному ремонту общего имущества в многоквартирных домах</t>
  </si>
  <si>
    <t>Наименование муниципального образования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</si>
  <si>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</si>
  <si>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</si>
  <si>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</si>
  <si>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</si>
  <si>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</si>
  <si>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</si>
  <si>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IV 
квартал</t>
  </si>
  <si>
    <t xml:space="preserve">администрации муниципального образования «Город Саратов» </t>
  </si>
  <si>
    <t>156.</t>
  </si>
  <si>
    <t>157.</t>
  </si>
  <si>
    <t>158.</t>
  </si>
  <si>
    <t>159.</t>
  </si>
  <si>
    <t>160.</t>
  </si>
  <si>
    <t>162.</t>
  </si>
  <si>
    <t>163.</t>
  </si>
  <si>
    <t>164.</t>
  </si>
  <si>
    <t>166.</t>
  </si>
  <si>
    <t>167.</t>
  </si>
  <si>
    <t>168.</t>
  </si>
  <si>
    <t>169.</t>
  </si>
  <si>
    <t>170.</t>
  </si>
  <si>
    <t>171.</t>
  </si>
  <si>
    <t>172.</t>
  </si>
  <si>
    <t>174.</t>
  </si>
  <si>
    <t>175.</t>
  </si>
  <si>
    <t>176.</t>
  </si>
  <si>
    <t>177.</t>
  </si>
  <si>
    <t>178.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</si>
  <si>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</si>
  <si>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</si>
  <si>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</si>
  <si>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</si>
  <si>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</si>
  <si>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</si>
  <si>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</si>
  <si>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</si>
  <si>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</si>
  <si>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</si>
  <si>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</si>
  <si>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</si>
  <si>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</si>
  <si>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196.</t>
  </si>
  <si>
    <t>197.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</si>
  <si>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</si>
  <si>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</si>
  <si>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</si>
  <si>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</si>
  <si>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</si>
  <si>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</si>
  <si>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</si>
  <si>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</si>
  <si>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</si>
  <si>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</si>
  <si>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</si>
  <si>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</si>
  <si>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</si>
  <si>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</si>
  <si>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</si>
  <si>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</si>
  <si>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</si>
  <si>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</si>
  <si>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</si>
  <si>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</si>
  <si>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</si>
  <si>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</si>
  <si>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</si>
  <si>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</si>
  <si>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</si>
  <si>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</si>
  <si>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</si>
  <si>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</si>
  <si>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</si>
  <si>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</si>
  <si>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</si>
  <si>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</si>
  <si>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</si>
  <si>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</si>
  <si>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240.</t>
  </si>
  <si>
    <t>241.</t>
  </si>
  <si>
    <t>243.</t>
  </si>
  <si>
    <t>244.</t>
  </si>
  <si>
    <t>245.</t>
  </si>
  <si>
    <t>246.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</si>
  <si>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</si>
  <si>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</si>
  <si>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</si>
  <si>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</si>
  <si>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</si>
  <si>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</si>
  <si>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</si>
  <si>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</si>
  <si>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</si>
  <si>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</si>
  <si>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260.</t>
  </si>
  <si>
    <t>261.</t>
  </si>
  <si>
    <t>1968-1971</t>
  </si>
  <si>
    <t>газо-снаб-жения</t>
  </si>
  <si>
    <t>Площадь помещений МКД</t>
  </si>
  <si>
    <t>в том числе</t>
  </si>
  <si>
    <t>1912</t>
  </si>
  <si>
    <t>1961</t>
  </si>
  <si>
    <t>Г. Саратов, 1-й пр. Энергетиков, д. № 5</t>
  </si>
  <si>
    <t>Г. Саратов, просп. им. 50 лет Октября, д. № 61</t>
  </si>
  <si>
    <t>Г. Саратов, просп. им. Кирова С.М., д. № 24</t>
  </si>
  <si>
    <t>Г. Саратов, просп. им. Кирова С.М., д. № 50</t>
  </si>
  <si>
    <t>Г. Саратов, Театральная пл., д. № 9</t>
  </si>
  <si>
    <t>Г. Саратов, ул. Большая Горная, д. № 252</t>
  </si>
  <si>
    <t>Г. Саратов, ул. Большая Горная, д. № 282</t>
  </si>
  <si>
    <t>Г. Саратов, ул. Большая Казачья, д. № 52</t>
  </si>
  <si>
    <t>Г. Саратов, ул. им. Азина В.М., д. № 51А</t>
  </si>
  <si>
    <t>Г. Саратов, ул. им. Гоголя Н.В., д. № 23</t>
  </si>
  <si>
    <t>Г. Саратов, ул. им. Горького А.М., д. № 61</t>
  </si>
  <si>
    <t>Г. Саратов, ул. им. Зарубина В.С., д. № 81</t>
  </si>
  <si>
    <t>Г. Саратов, ул. им. Киселева, д. № 56</t>
  </si>
  <si>
    <t>Г. Саратов, ул. им. Лермонтова М.Ю., д. № 19</t>
  </si>
  <si>
    <t>Г. Саратов, ул. им. Лермонтова М.Ю., д. № 65</t>
  </si>
  <si>
    <t>Г. Саратов, ул. им. Люксембург Розы, д. № 5</t>
  </si>
  <si>
    <t>Г. Саратов, ул. им. Мичурина И.В., д. № 137</t>
  </si>
  <si>
    <t>Г. Саратов, ул. им. Мичурина И.В., д. № 148</t>
  </si>
  <si>
    <t>Г. Саратов, ул. им. Посадского, д. № 173</t>
  </si>
  <si>
    <t>Г. Саратов, ул. им. Сакко и Ванцетти, д. № 45</t>
  </si>
  <si>
    <t>Г. Саратов, ул. им. Челюскинцев, д. № 160</t>
  </si>
  <si>
    <t>Г. Саратов, ул. им. Чернышевского Н.Г., д. № 146</t>
  </si>
  <si>
    <t>Г. Саратов, ул. им. Чернышевского Н.Г., д. № 157/5</t>
  </si>
  <si>
    <t>Г. Саратов, ул. им. Чернышевского Н.Г., д. № 193</t>
  </si>
  <si>
    <t>Г. Саратов, ул. им. Щорса Н.А., д. № 14</t>
  </si>
  <si>
    <t>Г. Саратов, ул. им. Яблочкова П.Н., д. № 27/46</t>
  </si>
  <si>
    <t>Г. Саратов, ул. Московская, д. № 86</t>
  </si>
  <si>
    <t>Г. Саратов, ул. Московская, д. № 98</t>
  </si>
  <si>
    <t>Г. Саратов, ул. Первомайская, д. № 38</t>
  </si>
  <si>
    <t>Г. Саратов, ул. Первомайская, д. № 61</t>
  </si>
  <si>
    <t>Г. Саратов, ул. Симбирская, д. № 15</t>
  </si>
  <si>
    <t>деревянные</t>
  </si>
  <si>
    <t>47.</t>
  </si>
  <si>
    <t>138.</t>
  </si>
  <si>
    <t>155.</t>
  </si>
  <si>
    <t>179.</t>
  </si>
  <si>
    <t>189.</t>
  </si>
  <si>
    <t>199.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</si>
  <si>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</si>
  <si>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</si>
  <si>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</si>
  <si>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</si>
  <si>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</si>
  <si>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</si>
  <si>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</si>
  <si>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</si>
  <si>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</si>
  <si>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Г. Саратов, Соборная пл., д. № 1</t>
  </si>
  <si>
    <t>Г. Саратов, 1-й Брянский туп., д. № 7</t>
  </si>
  <si>
    <t>Г. Саратов, 1-й Высокий пр., д. № 1</t>
  </si>
  <si>
    <t>Г. Саратов, 1-й Высокий пр., д. № 2</t>
  </si>
  <si>
    <t>Г. Саратов, 1-й Нефтяной пр., д. № 1</t>
  </si>
  <si>
    <t>Г. Саратов, 1-й пр. Энергетиков, д. № 12</t>
  </si>
  <si>
    <t>Г. Саратов, 1-й Станционный пр., д. № 5</t>
  </si>
  <si>
    <t>Г. Саратов, 1-й Станционный пр., д. № 7</t>
  </si>
  <si>
    <t>Г. Саратов, 2-й Кавказский туп., д. № 4</t>
  </si>
  <si>
    <t>Г. Саратов, 3-й Солдатский пр., д. № 1А</t>
  </si>
  <si>
    <t>Г. Саратов, 4-й Вакуровский пр., д. № 4</t>
  </si>
  <si>
    <t>Г. Саратов, Большой Динамовский пр., д. № 5</t>
  </si>
  <si>
    <t>Г. Саратов, Вишневый пр., д. № 10</t>
  </si>
  <si>
    <t>Г. Саратов, Вишневый пр., д. № 12</t>
  </si>
  <si>
    <t>Г. Саратов, Вишневый пр., д. № 4</t>
  </si>
  <si>
    <t>Г. Саратов, Волочаевский пр., д. № 5</t>
  </si>
  <si>
    <t>Г. Саратов, Гусельский пер., д. № 1</t>
  </si>
  <si>
    <t>Г. Саратов, Интернациональный пр., д. № 3</t>
  </si>
  <si>
    <t>Г. Саратов, Киевский пр., д. № 2</t>
  </si>
  <si>
    <t>Г. Саратов, Князевский взвоз, д. № 16</t>
  </si>
  <si>
    <t>Г. Саратов, Московское шоссе, д. № 22А</t>
  </si>
  <si>
    <t>Г. Саратов, Московское шоссе, д. № 23</t>
  </si>
  <si>
    <t>Г. Саратов, Московское шоссе, д. № 25</t>
  </si>
  <si>
    <t>Г. Саратов, Московское шоссе, д. № 26</t>
  </si>
  <si>
    <t>Г. Саратов, Московское шоссе, д. № 27</t>
  </si>
  <si>
    <t>Г. Саратов, Московское шоссе, д. № 29</t>
  </si>
  <si>
    <t>Г. Саратов, Московское шоссе, д. № 30</t>
  </si>
  <si>
    <t>Г. Саратов, Московское шоссе, д. № 33</t>
  </si>
  <si>
    <t>Г. Саратов, Московское шоссе, д. № 7А</t>
  </si>
  <si>
    <t>Г. Саратов, Московское шоссе, д. № 9</t>
  </si>
  <si>
    <t>Г. Саратов, Ново-Астраханское шоссе, д. № 33</t>
  </si>
  <si>
    <t>Г. Саратов, Ново-Астраханское шоссе, д. № 35</t>
  </si>
  <si>
    <t>Г. Саратов, пл. им. Кирова С.М., д. № 10</t>
  </si>
  <si>
    <t>Г. Саратов, пл. им. Кирова С.М., д. № 4</t>
  </si>
  <si>
    <t>Г. Саратов, просп. им. 50 лет Октября, д. № 20/32</t>
  </si>
  <si>
    <t>Г. Саратов, просп. им. 50 лет Октября, д. № 60</t>
  </si>
  <si>
    <t>Г. Саратов, просп. им. Кирова С.М., д. № 36</t>
  </si>
  <si>
    <t>Г. Саратов, просп. им. Кирова С.М., д. № 40</t>
  </si>
  <si>
    <t>Г. Саратов, просп. им. Кирова С.М., д. № 48</t>
  </si>
  <si>
    <t>Г. Саратов, просп. им. Кирова С.М., д. № 6/8</t>
  </si>
  <si>
    <t>Г. Саратов, просп. Строителей, д. № 8</t>
  </si>
  <si>
    <t>Г. Саратов, просп. Энтузиастов, д. № 30</t>
  </si>
  <si>
    <t>Г. Саратов, просп. Энтузиастов, д. № 3А</t>
  </si>
  <si>
    <t>Г. Саратов, просп. Энтузиастов, д. № 3Б</t>
  </si>
  <si>
    <t>Г. Саратов, просп. Энтузиастов, д. № 50А</t>
  </si>
  <si>
    <t>Г. Саратов, Ростовский пр., д. № 10</t>
  </si>
  <si>
    <t>Г. Саратов, Ростовский пр., д. № 2</t>
  </si>
  <si>
    <t>Г. Саратов, Санаторный пр., д. № 9</t>
  </si>
  <si>
    <t>Г. Саратов, Селекционный пр., д. № 4</t>
  </si>
  <si>
    <t>Г. Саратов, ул. 2-я Садовая, д. № 104А, корпус № 1</t>
  </si>
  <si>
    <t>Г. Саратов, ул. 2-я Садовая, д. № 104Б</t>
  </si>
  <si>
    <t>Г. Саратов, ул. 2-я Садовая, д. № 104В</t>
  </si>
  <si>
    <t>Г. Саратов, ул. 2-я Садовая, д. № 104Г</t>
  </si>
  <si>
    <t>Г. Саратов, ул. 2-я Садовая, д. № 104Д</t>
  </si>
  <si>
    <t>Г. Саратов, ул. 2-я Садовая, д. № 106, корпус № 9</t>
  </si>
  <si>
    <t>Г. Саратов, ул. 2-я Садовая, д. № 106Б, корпус № 2</t>
  </si>
  <si>
    <t>Г. Саратов, ул. 2-я Садовая, д. № 106Б, корпус № 4</t>
  </si>
  <si>
    <t>Г. Саратов, ул. 2-я Садовая, д. № 106Б, корпус № 5</t>
  </si>
  <si>
    <t>Г. Саратов, ул. 2-я Садовая, д. № 11</t>
  </si>
  <si>
    <t>Г. Саратов, ул. 2-я Садовая, д. № 132</t>
  </si>
  <si>
    <t>Г. Саратов, ул. 2-я Садовая, д. № 138</t>
  </si>
  <si>
    <t>Г. Саратов, ул. 2-я Садовая, д. № 142</t>
  </si>
  <si>
    <t>Г. Саратов, ул. 2-я Садовая, д. № 144</t>
  </si>
  <si>
    <t>Г. Саратов, ул. 2-я Садовая, д. № 74</t>
  </si>
  <si>
    <t>Г. Саратов, ул. 3-я Степная, д. № 22</t>
  </si>
  <si>
    <t>Г. Саратов, ул. 3-я Степная, д. № 4</t>
  </si>
  <si>
    <t>Г. Саратов, ул. 4-я Поперечная, д. № 4</t>
  </si>
  <si>
    <t>Г. Саратов, ул. Артиллерийская, д. № 11</t>
  </si>
  <si>
    <t>Г. Саратов, ул. Артиллерийская, д. № 9</t>
  </si>
  <si>
    <t>Г. Саратов, ул. Астраханская, д. № 81</t>
  </si>
  <si>
    <t>Г. Саратов, ул. Аткарская, д. № 41А</t>
  </si>
  <si>
    <t>Г. Саратов, ул. Бакинская, д. № 11</t>
  </si>
  <si>
    <t>Г. Саратов, ул. Бахметьевская, д. № 12/16</t>
  </si>
  <si>
    <t>Г. Саратов, ул. Бахметьевская, д. № 20/24</t>
  </si>
  <si>
    <t>Г. Саратов, ул. Бахметьевская, д. № 2А</t>
  </si>
  <si>
    <t>Г. Саратов, ул. Бахметьевская, д. № 33</t>
  </si>
  <si>
    <t>Г. Саратов, ул. Безымянная, д. № 10</t>
  </si>
  <si>
    <t>Г. Саратов, ул. Безымянная, д. № 4</t>
  </si>
  <si>
    <t>Г. Саратов, ул. Безымянная, д. № 8</t>
  </si>
  <si>
    <t>Г. Саратов, ул. Белоглинская, д. № 15</t>
  </si>
  <si>
    <t>Г. Саратов, ул. Белоглинская, д. № 84/86</t>
  </si>
  <si>
    <t>Г. Саратов, ул. Большая Горная, д. № 81</t>
  </si>
  <si>
    <t>Г. Саратов, ул. Большая Затонская, д. № 25</t>
  </si>
  <si>
    <t>Г. Саратов, ул. Большая Казачья, д. № 109</t>
  </si>
  <si>
    <t>Г. Саратов, ул. Большая Садовая, д. № 100</t>
  </si>
  <si>
    <t>Г. Саратов, ул. Большая Садовая, д. № 100А</t>
  </si>
  <si>
    <t>Г. Саратов, ул. Большая Садовая, д. № 100Б</t>
  </si>
  <si>
    <t>Г. Саратов, ул. Брянская, д. № 7</t>
  </si>
  <si>
    <t>Г. Саратов, ул. Буровая, д. № 21</t>
  </si>
  <si>
    <t>Г. Саратов, ул. Буровая, д. № 24/1</t>
  </si>
  <si>
    <t>Г. Саратов, ул. Буровая, д. № 24/3</t>
  </si>
  <si>
    <t>Г. Саратов, ул. Буровая, д. № 24А</t>
  </si>
  <si>
    <t>Г. Саратов, ул. Вишневая, д. № 5</t>
  </si>
  <si>
    <t>Г. Саратов, ул. Вольская, д. № 69</t>
  </si>
  <si>
    <t>Г. Саратов, ул. Высокая, д. № 20А</t>
  </si>
  <si>
    <t>Г. Саратов, ул. Гвардейская, д. № 1</t>
  </si>
  <si>
    <t>Г. Саратов, ул. Деловая, д. № 11</t>
  </si>
  <si>
    <t>Г. Саратов, ул. Дома 8 Марта, д. № 4</t>
  </si>
  <si>
    <t>Г. Саратов, ул. ДОС, д. № 1</t>
  </si>
  <si>
    <t>Г. Саратов, ул. ДОС, д. № 3</t>
  </si>
  <si>
    <t>Г. Саратов, ул. Заводская, д. № 14</t>
  </si>
  <si>
    <t>Г. Саратов, ул. Заречная, д. № 11</t>
  </si>
  <si>
    <t>Г. Саратов, ул. Заречная, д. № 17</t>
  </si>
  <si>
    <t>Г. Саратов, ул. Заречная, д. № 29</t>
  </si>
  <si>
    <t>Г. Саратов, ул. Зеркальная, д. № 2</t>
  </si>
  <si>
    <t>Г. Саратов, ул. Измайлова, д. № 3</t>
  </si>
  <si>
    <t>Г. Саратов, ул. им. Азина В.М., д. № 16</t>
  </si>
  <si>
    <t>Г. Саратов, ул. им. Азина В.М., д. № 39А</t>
  </si>
  <si>
    <t>Г. Саратов, ул. им. Азина В.М., д. № 7</t>
  </si>
  <si>
    <t>Г. Саратов, ул. им. Азина В.М., д. № 8</t>
  </si>
  <si>
    <t>Г. Саратов, ул. им. Академика О.К. Антонова, д. № 19А</t>
  </si>
  <si>
    <t>Г. Саратов, ул. им. Академика О.К. Антонова, д. № 9А</t>
  </si>
  <si>
    <t>Г. Саратов, ул. им. Благодарова К.В., д. № 3</t>
  </si>
  <si>
    <t>Г. Саратов, ул. им. Вавилова Н.И., д. № 35/39</t>
  </si>
  <si>
    <t>Г. Саратов, ул. им. Гоголя Н.В., д. № 17</t>
  </si>
  <si>
    <t>Г. Саратов, ул. им. Киселева, д. № 51</t>
  </si>
  <si>
    <t>Г. Саратов, ул. им. Кутякова И.С., д. № 10</t>
  </si>
  <si>
    <t>Г. Саратов, ул. им. Лермонтова М.Ю., д. № 29</t>
  </si>
  <si>
    <t>Г. Саратов, ул. им. Ломоносова М.В., д. № 6</t>
  </si>
  <si>
    <t>Г. Саратов, ул. им. Мичурина И.В., д. № 155</t>
  </si>
  <si>
    <t>Г. Саратов, ул. им. Мичурина И.В., д. № 157</t>
  </si>
  <si>
    <t>Г. Саратов, ул. им. Мичурина И.В., д. № 188</t>
  </si>
  <si>
    <t>Г. Саратов, ул. им. Мичурина И.В., д. № 87</t>
  </si>
  <si>
    <t>Г. Саратов, ул. им. Моисеева Ю.С., д. № 1</t>
  </si>
  <si>
    <t>Г. Саратов, ул. им. Моисеева Ю.С., д. № 5</t>
  </si>
  <si>
    <t>Г. Саратов, ул. им. Орджоникидзе Г.К., д. № 6А</t>
  </si>
  <si>
    <t>Г. Саратов, ул. им. Орджоникидзе Г.К., д. № 8</t>
  </si>
  <si>
    <t>Г. Саратов, ул. им. Пономарева П.Т., д. № 18/10</t>
  </si>
  <si>
    <t>Г. Саратов, ул. им. Пугачева Е.И., д. № 85/93</t>
  </si>
  <si>
    <t>Г. Саратов, ул. им. Радищева А.Н., д. № 23</t>
  </si>
  <si>
    <t>Г. Саратов, ул. им. Разина С.Т., д. № 19А</t>
  </si>
  <si>
    <t>Г. Саратов, ул. им. Слонова И.А., д. № 72</t>
  </si>
  <si>
    <t>Г. Саратов, ул. им. Тархова С.Ф., д. № 4А</t>
  </si>
  <si>
    <t>Г. Саратов, ул. им. Хвесина Т.Е., д. № 34/38</t>
  </si>
  <si>
    <t>Г. Саратов, ул. им. Хользунова А.И., д. № 1/5</t>
  </si>
  <si>
    <t>Г. Саратов, ул. им. Хомяковой В.Д., д. № 17</t>
  </si>
  <si>
    <t>Г. Саратов, ул. им. Хомяковой В.Д., д. № 8/49</t>
  </si>
  <si>
    <t>Г. Саратов, ул. им. Чапаева В.И., д. № 99/109</t>
  </si>
  <si>
    <t>Г. Саратов, ул. им. Челюскинцев, д. № 14</t>
  </si>
  <si>
    <t>Г. Саратов, ул. им. Челюскинцев, д. № 9</t>
  </si>
  <si>
    <t>Г. Саратов, ул. им. Чемодурова В.И., д. № 4</t>
  </si>
  <si>
    <t>Г. Саратов, ул. им. Чернышевского Н.Г., д. № 15</t>
  </si>
  <si>
    <t>Г. Саратов, ул. им. Чернышевского Н.Г., д. № 157/3</t>
  </si>
  <si>
    <t>Г. Саратов, ул. им. Чернышевского Н.Г., д. № 173</t>
  </si>
  <si>
    <t>Г. Саратов, ул. им. Чернышевского Н.Г., д. № 186</t>
  </si>
  <si>
    <t>Г. Саратов, ул. им. Чернышевского Н.Г., д. № 4</t>
  </si>
  <si>
    <t>Г. Саратов, ул. им. Чернышевского Н.Г., д. № 48А</t>
  </si>
  <si>
    <t>Г. Саратов, ул. им. Чернышевского Н.Г., д. № 54В</t>
  </si>
  <si>
    <t>Г. Саратов, ул. им. Чернышевского Н.Г., д. № 55</t>
  </si>
  <si>
    <t>Г. Саратов, ул. им. Щорса Н.А., д. № 3</t>
  </si>
  <si>
    <t>Г. Саратов, ул. им. Яблочкова П.Н., д. № 19</t>
  </si>
  <si>
    <t>Г. Саратов, ул. им. Яблочкова П.Н., д. № 24</t>
  </si>
  <si>
    <t>Г. Саратов, ул. им. Яблочкова П.Н., д. № 28</t>
  </si>
  <si>
    <t>Г. Саратов, ул. им. Яблочкова П.Н., д. № 6</t>
  </si>
  <si>
    <t>Г. Саратов, ул. Ипподромная, д. № 16</t>
  </si>
  <si>
    <t>Г. Саратов, ул. Ленинградская, д. № 3</t>
  </si>
  <si>
    <t>Г. Саратов, ул. Ленинградская, д. № 4</t>
  </si>
  <si>
    <t>Г. Саратов, ул. Лесопильная, д. № 161А</t>
  </si>
  <si>
    <t>Г. Саратов, ул. Лесопильная, д. № 165А</t>
  </si>
  <si>
    <t>Г. Саратов, ул. Лесопильная, д. № 167А</t>
  </si>
  <si>
    <t>Г. Саратов, ул. Майская, д. № 10А</t>
  </si>
  <si>
    <t>Г. Саратов, ул. Майская, д. № 14</t>
  </si>
  <si>
    <t>Г. Саратов, ул. Майская, д. № 16</t>
  </si>
  <si>
    <t>Г. Саратов, ул. Майская, д. № 1А</t>
  </si>
  <si>
    <t>Г. Саратов, ул. Майская, д. № 2</t>
  </si>
  <si>
    <t>Г. Саратов, ул. Малая Елшанская, д. № 8</t>
  </si>
  <si>
    <t>Г. Саратов, ул. Мелиораторов, д. № 20</t>
  </si>
  <si>
    <t>Г. Саратов, ул. Мелиораторов, д. № 22</t>
  </si>
  <si>
    <t>Г. Саратов, ул. Мелиораторов, д. № 3</t>
  </si>
  <si>
    <t>Г. Саратов, ул. Мелиораторов, д. № 5</t>
  </si>
  <si>
    <t>Г. Саратов, ул. Мелиораторов, д. № 6</t>
  </si>
  <si>
    <t>Г. Саратов, ул. Мелиораторов, д. № 8</t>
  </si>
  <si>
    <t>Г. Саратов, ул. Мелиораторов, д. № 9</t>
  </si>
  <si>
    <t>Г. Саратов, ул. Миллеровская, д. № 20</t>
  </si>
  <si>
    <t>Г. Саратов, ул. Московская, д. № 13</t>
  </si>
  <si>
    <t>Г. Саратов, ул. Московская, д. № 14</t>
  </si>
  <si>
    <t>Г. Саратов, ул. Московская, д. № 15</t>
  </si>
  <si>
    <t>Г. Саратов, ул. Московская, д. № 16</t>
  </si>
  <si>
    <t>Г. Саратов, ул. Московская, д. № 18</t>
  </si>
  <si>
    <t>Г. Саратов, ул. Московская, д. № 19</t>
  </si>
  <si>
    <t>Г. Саратов, ул. Московская, д. № 20</t>
  </si>
  <si>
    <t>Г. Саратов, ул. Московская, д. № 24</t>
  </si>
  <si>
    <t>Г. Саратов, ул. Московская, д. № 25</t>
  </si>
  <si>
    <t>Г. Саратов, ул. Московская, д. № 26</t>
  </si>
  <si>
    <t>Г. Саратов, ул. Московская, д. № 28-30 - ул. Вознесенская, д. № 6</t>
  </si>
  <si>
    <t>Г. Саратов, ул. Московская, д. № 31</t>
  </si>
  <si>
    <t>Г. Саратов, ул. Московская, д. № 7</t>
  </si>
  <si>
    <t>Г. Саратов, ул. Московская, д. № 9</t>
  </si>
  <si>
    <t>Г. Саратов, ул. Мясницкая, д. № 162</t>
  </si>
  <si>
    <t>Г. Саратов, ул. Новоузенская, д. № 141А</t>
  </si>
  <si>
    <t>Г. Саратов, ул. Огородная, д. № 188</t>
  </si>
  <si>
    <t>Г. Саратов, ул. Огородная, д. № 19</t>
  </si>
  <si>
    <t>Г. Саратов, ул. Огородная, д. № 223</t>
  </si>
  <si>
    <t>Г. Саратов, ул. Первомайская, д. № 52</t>
  </si>
  <si>
    <t>Г. Саратов, ул. Перспективная, д. № 3</t>
  </si>
  <si>
    <t>Г. Саратов, ул. Провиантская, д. № 7</t>
  </si>
  <si>
    <t>Г. Саратов, ул. Провиантская, д. № 9</t>
  </si>
  <si>
    <t>Г. Саратов, ул. Симбирская, д. № 152</t>
  </si>
  <si>
    <t>Г. Саратов, ул. Советская, д. № 11</t>
  </si>
  <si>
    <t>Г. Саратов, ул. Советская, д. № 3/5, корпус № 5</t>
  </si>
  <si>
    <t>Г. Саратов, ул. Советская, д. № 34</t>
  </si>
  <si>
    <t>Г. Саратов, ул. Советская, д. № 46</t>
  </si>
  <si>
    <t>Г. Саратов, ул. Советская, д. № 4А</t>
  </si>
  <si>
    <t>Г. Саратов, ул. Советская, д. № 63</t>
  </si>
  <si>
    <t>Г. Саратов, ул. Советская, д. № 64/70</t>
  </si>
  <si>
    <t>Г. Саратов, ул. Соколовогорская, д. № 12</t>
  </si>
  <si>
    <t>Г. Саратов, ул. Соколовогорская, д. № 16</t>
  </si>
  <si>
    <t>Г. Саратов, ул. Соколовогорская, д. № 21</t>
  </si>
  <si>
    <t>Г. Саратов, ул. Соколовогорская, д. № 22</t>
  </si>
  <si>
    <t>Г. Саратов, ул. Соколовогорская, д. № 24</t>
  </si>
  <si>
    <t>Г. Саратов, ул. Соколовогорская, д. № 4</t>
  </si>
  <si>
    <t>Г. Саратов, ул. Спартака, д. № 11</t>
  </si>
  <si>
    <t>Г. Саратов, ул. Спартака, д. № 9</t>
  </si>
  <si>
    <t>Г. Саратов, ул. Станционная, д. № 1</t>
  </si>
  <si>
    <t>Г. Саратов, ул. Станционная, д. № 9</t>
  </si>
  <si>
    <t>Г. Саратов, ул. Танкистов, д. № 57</t>
  </si>
  <si>
    <t>Г. Саратов, ул. Танкистов, д. № 59</t>
  </si>
  <si>
    <t>Г. Саратов, ул. Танкистов, д. № 65</t>
  </si>
  <si>
    <t>Г. Саратов, ул. Танкистов, д. № 67</t>
  </si>
  <si>
    <t>Г. Саратов, ул. Техническая, д. № 35/45</t>
  </si>
  <si>
    <t>Г. Саратов, ул. Тракторная, д. № 17/29</t>
  </si>
  <si>
    <t>Г. Саратов, ул. Тракторная, д. № 45</t>
  </si>
  <si>
    <t>Г. Саратов, ул. Тульская, д. № 2</t>
  </si>
  <si>
    <t>Г. Саратов, ул. Украинская, д. № 6</t>
  </si>
  <si>
    <t>Г. Саратов, ул. Фабричная, д. № 4</t>
  </si>
  <si>
    <t>Г. Саратов, ул. Шелковичная, д. № 120</t>
  </si>
  <si>
    <t>Г. Саратов, ул. Шелковичная, д. № 128</t>
  </si>
  <si>
    <t>Г. Саратов, ул. Шелковичная, д. № 130</t>
  </si>
  <si>
    <t>Г. Саратов, ул. Шелковичная, д. № 190</t>
  </si>
  <si>
    <t>Г. Саратов, ул. Шелковичная, д. № 216</t>
  </si>
  <si>
    <t>Г. Саратов, ул. Южно-Зеленая, д. № 15</t>
  </si>
  <si>
    <t>Г. Саратов, пос. Юриш, ул. 8-я Линия, д. № 4</t>
  </si>
  <si>
    <t>Г. Саратов, территория учреждения УШ-382/33, д. № 2</t>
  </si>
  <si>
    <t>Г. Саратов, ул. им. Челюскинцев, д. № 173 (кв. с № 3 по № 52)</t>
  </si>
  <si>
    <t>Г. Саратов, Мясницкий овраг, д. № 108</t>
  </si>
  <si>
    <t>Г. Саратов, Октябрьское ущелье, д. № 6</t>
  </si>
  <si>
    <t>Г. Саратов, Октябрьское ущелье, д. № 7</t>
  </si>
  <si>
    <t>Г. Саратов, Октябрьское ущелье, д. № 8</t>
  </si>
  <si>
    <t>11.</t>
  </si>
  <si>
    <t>14.</t>
  </si>
  <si>
    <t>22.</t>
  </si>
  <si>
    <t>23.</t>
  </si>
  <si>
    <t>64.</t>
  </si>
  <si>
    <t>73.</t>
  </si>
  <si>
    <t>92.</t>
  </si>
  <si>
    <t>99.</t>
  </si>
  <si>
    <t>136.</t>
  </si>
  <si>
    <t>173.</t>
  </si>
  <si>
    <t>215.</t>
  </si>
  <si>
    <t>216.</t>
  </si>
  <si>
    <t>227.</t>
  </si>
  <si>
    <t>228.</t>
  </si>
  <si>
    <t>229.</t>
  </si>
  <si>
    <t>239.</t>
  </si>
  <si>
    <t>247.</t>
  </si>
  <si>
    <t>258.</t>
  </si>
  <si>
    <t>259.</t>
  </si>
  <si>
    <t>12.2017</t>
  </si>
  <si>
    <t>Г. Саратов, ул. Барнаульская, д. № 6</t>
  </si>
  <si>
    <t>42.</t>
  </si>
  <si>
    <t>43.</t>
  </si>
  <si>
    <t>57.</t>
  </si>
  <si>
    <t>58.</t>
  </si>
  <si>
    <t>63.</t>
  </si>
  <si>
    <t>74.</t>
  </si>
  <si>
    <t>130.</t>
  </si>
  <si>
    <t>140.</t>
  </si>
  <si>
    <t>161.</t>
  </si>
  <si>
    <t>165.</t>
  </si>
  <si>
    <t>180.</t>
  </si>
  <si>
    <t>195.</t>
  </si>
  <si>
    <t>198.</t>
  </si>
  <si>
    <t>242.</t>
  </si>
  <si>
    <t>И.о. председателя комитета по жилищно-коммунальному хозяйству</t>
  </si>
  <si>
    <t>Н.Б. Даниленко</t>
  </si>
  <si>
    <t>от 7 августа 2019 года № 1627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</si>
</sst>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" fontId="51" fillId="0" borderId="10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 shrinkToFit="1"/>
    </xf>
    <xf numFmtId="0" fontId="5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14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304"/>
  <sheetViews>
    <sheetView tabSelected="1" view="pageBreakPreview" zoomScale="80" zoomScaleSheetLayoutView="80" workbookViewId="0" topLeftCell="B1">
      <selection activeCell="P7" sqref="P7"/>
    </sheetView>
  </sheetViews>
  <sheetFormatPr defaultColWidth="9.140625" defaultRowHeight="15"/>
  <cols>
    <col min="1" max="1" width="6.421875" style="1" customWidth="1"/>
    <col min="2" max="2" width="62.00390625" style="4" customWidth="1"/>
    <col min="3" max="3" width="9.140625" style="5" customWidth="1"/>
    <col min="4" max="4" width="6.7109375" style="5" customWidth="1"/>
    <col min="5" max="5" width="14.140625" style="5" customWidth="1"/>
    <col min="6" max="7" width="5.7109375" style="5" customWidth="1"/>
    <col min="8" max="8" width="11.8515625" style="5" customWidth="1"/>
    <col min="9" max="9" width="13.00390625" style="5" customWidth="1"/>
    <col min="10" max="10" width="12.00390625" style="5" customWidth="1"/>
    <col min="11" max="11" width="12.7109375" style="5" customWidth="1"/>
    <col min="12" max="12" width="13.7109375" style="5" customWidth="1"/>
    <col min="13" max="13" width="9.00390625" style="5" customWidth="1"/>
    <col min="14" max="14" width="7.00390625" style="5" customWidth="1"/>
    <col min="15" max="15" width="7.57421875" style="5" customWidth="1"/>
    <col min="16" max="16" width="15.421875" style="5" customWidth="1"/>
    <col min="17" max="17" width="9.140625" style="5" customWidth="1"/>
    <col min="18" max="16384" width="9.140625" style="1" customWidth="1"/>
  </cols>
  <sheetData>
    <row r="1" spans="14:17" ht="12.75" customHeight="1">
      <c r="N1" s="56" t="s">
        <v>168</v>
      </c>
      <c r="O1" s="56"/>
      <c r="P1" s="56"/>
      <c r="Q1" s="56"/>
    </row>
    <row r="2" spans="14:17" ht="12.75" customHeight="1">
      <c r="N2" s="56" t="s">
        <v>165</v>
      </c>
      <c r="O2" s="56"/>
      <c r="P2" s="56"/>
      <c r="Q2" s="56"/>
    </row>
    <row r="3" spans="14:17" ht="12.75" customHeight="1">
      <c r="N3" s="56" t="s">
        <v>166</v>
      </c>
      <c r="O3" s="56"/>
      <c r="P3" s="56"/>
      <c r="Q3" s="56"/>
    </row>
    <row r="4" spans="14:17" ht="12.75" customHeight="1">
      <c r="N4" s="56" t="s">
        <v>167</v>
      </c>
      <c r="O4" s="56"/>
      <c r="P4" s="56"/>
      <c r="Q4" s="56"/>
    </row>
    <row r="5" spans="14:17" ht="12.75" customHeight="1">
      <c r="N5" s="59" t="s">
        <v>620</v>
      </c>
      <c r="O5" s="59"/>
      <c r="P5" s="59"/>
      <c r="Q5" s="59"/>
    </row>
    <row r="6" spans="15:17" ht="12.75" customHeight="1">
      <c r="O6" s="6"/>
      <c r="P6" s="6"/>
      <c r="Q6" s="6"/>
    </row>
    <row r="7" spans="16:17" ht="21.75" customHeight="1">
      <c r="P7" s="2"/>
      <c r="Q7" s="2"/>
    </row>
    <row r="8" spans="1:17" ht="40.5" customHeight="1">
      <c r="A8" s="62" t="s">
        <v>164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6:17" ht="21.75" customHeight="1">
      <c r="P9" s="2"/>
      <c r="Q9" s="2"/>
    </row>
    <row r="10" spans="16:17" ht="12.75" customHeight="1">
      <c r="P10" s="63" t="s">
        <v>162</v>
      </c>
      <c r="Q10" s="63"/>
    </row>
    <row r="11" spans="15:17" ht="21.75" customHeight="1">
      <c r="O11" s="2"/>
      <c r="P11" s="2"/>
      <c r="Q11" s="2"/>
    </row>
    <row r="12" spans="1:17" ht="15" customHeight="1">
      <c r="A12" s="61" t="s">
        <v>163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30" customHeight="1">
      <c r="A14" s="58" t="s">
        <v>0</v>
      </c>
      <c r="B14" s="58" t="s">
        <v>1</v>
      </c>
      <c r="C14" s="58" t="s">
        <v>2</v>
      </c>
      <c r="D14" s="58"/>
      <c r="E14" s="57" t="s">
        <v>3</v>
      </c>
      <c r="F14" s="57" t="s">
        <v>4</v>
      </c>
      <c r="G14" s="57" t="s">
        <v>5</v>
      </c>
      <c r="H14" s="57" t="s">
        <v>91</v>
      </c>
      <c r="I14" s="58" t="s">
        <v>294</v>
      </c>
      <c r="J14" s="58"/>
      <c r="K14" s="57" t="s">
        <v>6</v>
      </c>
      <c r="L14" s="58" t="s">
        <v>198</v>
      </c>
      <c r="M14" s="58"/>
      <c r="N14" s="58"/>
      <c r="O14" s="58"/>
      <c r="P14" s="58"/>
      <c r="Q14" s="57" t="s">
        <v>7</v>
      </c>
    </row>
    <row r="15" spans="1:17" ht="15" customHeight="1">
      <c r="A15" s="58"/>
      <c r="B15" s="58"/>
      <c r="C15" s="57" t="s">
        <v>8</v>
      </c>
      <c r="D15" s="57" t="s">
        <v>97</v>
      </c>
      <c r="E15" s="57"/>
      <c r="F15" s="57"/>
      <c r="G15" s="57"/>
      <c r="H15" s="57"/>
      <c r="I15" s="57" t="s">
        <v>92</v>
      </c>
      <c r="J15" s="57" t="s">
        <v>9</v>
      </c>
      <c r="K15" s="57"/>
      <c r="L15" s="57" t="s">
        <v>92</v>
      </c>
      <c r="M15" s="58" t="s">
        <v>295</v>
      </c>
      <c r="N15" s="58"/>
      <c r="O15" s="58"/>
      <c r="P15" s="58"/>
      <c r="Q15" s="57"/>
    </row>
    <row r="16" spans="1:17" ht="201" customHeight="1">
      <c r="A16" s="58"/>
      <c r="B16" s="5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26" t="s">
        <v>95</v>
      </c>
      <c r="N16" s="26" t="s">
        <v>96</v>
      </c>
      <c r="O16" s="26" t="s">
        <v>10</v>
      </c>
      <c r="P16" s="26" t="s">
        <v>11</v>
      </c>
      <c r="Q16" s="57"/>
    </row>
    <row r="17" spans="1:17" ht="20.25" customHeight="1">
      <c r="A17" s="58"/>
      <c r="B17" s="58"/>
      <c r="C17" s="57"/>
      <c r="D17" s="57"/>
      <c r="E17" s="57"/>
      <c r="F17" s="57"/>
      <c r="G17" s="57"/>
      <c r="H17" s="25" t="s">
        <v>93</v>
      </c>
      <c r="I17" s="25" t="s">
        <v>93</v>
      </c>
      <c r="J17" s="25" t="s">
        <v>93</v>
      </c>
      <c r="K17" s="25" t="s">
        <v>12</v>
      </c>
      <c r="L17" s="25" t="s">
        <v>13</v>
      </c>
      <c r="M17" s="25" t="s">
        <v>13</v>
      </c>
      <c r="N17" s="25" t="s">
        <v>13</v>
      </c>
      <c r="O17" s="25" t="s">
        <v>13</v>
      </c>
      <c r="P17" s="25" t="s">
        <v>13</v>
      </c>
      <c r="Q17" s="57"/>
    </row>
    <row r="18" spans="1:17" ht="19.5" customHeight="1">
      <c r="A18" s="12">
        <v>1</v>
      </c>
      <c r="B18" s="2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</row>
    <row r="19" spans="1:17" ht="21.75" customHeight="1">
      <c r="A19" s="60" t="s">
        <v>90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1.75" customHeight="1">
      <c r="A20" s="12" t="s">
        <v>15</v>
      </c>
      <c r="B20" s="10" t="s">
        <v>346</v>
      </c>
      <c r="C20" s="11">
        <v>1956</v>
      </c>
      <c r="D20" s="12" t="s">
        <v>87</v>
      </c>
      <c r="E20" s="11" t="s">
        <v>89</v>
      </c>
      <c r="F20" s="11">
        <v>2</v>
      </c>
      <c r="G20" s="11">
        <v>2</v>
      </c>
      <c r="H20" s="13">
        <v>389.2</v>
      </c>
      <c r="I20" s="13">
        <v>257.1</v>
      </c>
      <c r="J20" s="13">
        <v>213.10000000000002</v>
      </c>
      <c r="K20" s="36">
        <v>34</v>
      </c>
      <c r="L20" s="13">
        <f>'Таблица 2, 3 виды ремонта'!C11</f>
        <v>666900.15</v>
      </c>
      <c r="M20" s="14">
        <v>0</v>
      </c>
      <c r="N20" s="14">
        <v>0</v>
      </c>
      <c r="O20" s="14">
        <v>0</v>
      </c>
      <c r="P20" s="13">
        <f>L20</f>
        <v>666900.15</v>
      </c>
      <c r="Q20" s="15" t="s">
        <v>602</v>
      </c>
    </row>
    <row r="21" spans="1:17" s="18" customFormat="1" ht="21.75" customHeight="1">
      <c r="A21" s="12" t="s">
        <v>16</v>
      </c>
      <c r="B21" s="10" t="s">
        <v>347</v>
      </c>
      <c r="C21" s="11">
        <v>1956</v>
      </c>
      <c r="D21" s="12" t="s">
        <v>87</v>
      </c>
      <c r="E21" s="11" t="s">
        <v>89</v>
      </c>
      <c r="F21" s="11">
        <v>3</v>
      </c>
      <c r="G21" s="11">
        <v>1</v>
      </c>
      <c r="H21" s="13">
        <v>702.64</v>
      </c>
      <c r="I21" s="13">
        <v>612.57</v>
      </c>
      <c r="J21" s="13">
        <v>522.5</v>
      </c>
      <c r="K21" s="36">
        <v>23</v>
      </c>
      <c r="L21" s="13">
        <f>'Таблица 2, 3 виды ремонта'!C12</f>
        <v>601967.56</v>
      </c>
      <c r="M21" s="14">
        <v>0</v>
      </c>
      <c r="N21" s="14">
        <v>0</v>
      </c>
      <c r="O21" s="14">
        <v>0</v>
      </c>
      <c r="P21" s="13">
        <f aca="true" t="shared" si="0" ref="P21:P78">L21</f>
        <v>601967.56</v>
      </c>
      <c r="Q21" s="15" t="s">
        <v>99</v>
      </c>
    </row>
    <row r="22" spans="1:17" s="18" customFormat="1" ht="21.75" customHeight="1">
      <c r="A22" s="12" t="s">
        <v>17</v>
      </c>
      <c r="B22" s="10" t="s">
        <v>348</v>
      </c>
      <c r="C22" s="11">
        <v>1961</v>
      </c>
      <c r="D22" s="12" t="s">
        <v>87</v>
      </c>
      <c r="E22" s="11" t="s">
        <v>89</v>
      </c>
      <c r="F22" s="11">
        <v>3</v>
      </c>
      <c r="G22" s="11">
        <v>1</v>
      </c>
      <c r="H22" s="13">
        <v>858.07</v>
      </c>
      <c r="I22" s="13">
        <v>677.87</v>
      </c>
      <c r="J22" s="13">
        <v>497.67</v>
      </c>
      <c r="K22" s="36">
        <v>29</v>
      </c>
      <c r="L22" s="13">
        <f>'Таблица 2, 3 виды ремонта'!C13</f>
        <v>634955.64</v>
      </c>
      <c r="M22" s="14">
        <v>0</v>
      </c>
      <c r="N22" s="14">
        <v>0</v>
      </c>
      <c r="O22" s="14">
        <v>0</v>
      </c>
      <c r="P22" s="13">
        <f t="shared" si="0"/>
        <v>634955.64</v>
      </c>
      <c r="Q22" s="15" t="s">
        <v>99</v>
      </c>
    </row>
    <row r="23" spans="1:17" s="18" customFormat="1" ht="21.75" customHeight="1">
      <c r="A23" s="12" t="s">
        <v>18</v>
      </c>
      <c r="B23" s="10" t="s">
        <v>349</v>
      </c>
      <c r="C23" s="11">
        <v>1978</v>
      </c>
      <c r="D23" s="12" t="s">
        <v>87</v>
      </c>
      <c r="E23" s="11" t="s">
        <v>89</v>
      </c>
      <c r="F23" s="11">
        <v>2</v>
      </c>
      <c r="G23" s="11">
        <v>3</v>
      </c>
      <c r="H23" s="13">
        <v>954.4</v>
      </c>
      <c r="I23" s="13">
        <v>825.8</v>
      </c>
      <c r="J23" s="13">
        <v>391.19999999999993</v>
      </c>
      <c r="K23" s="36">
        <v>17</v>
      </c>
      <c r="L23" s="13">
        <f>'Таблица 2, 3 виды ремонта'!C14</f>
        <v>540464</v>
      </c>
      <c r="M23" s="14">
        <v>0</v>
      </c>
      <c r="N23" s="14">
        <v>0</v>
      </c>
      <c r="O23" s="14">
        <v>0</v>
      </c>
      <c r="P23" s="13">
        <f t="shared" si="0"/>
        <v>540464</v>
      </c>
      <c r="Q23" s="15" t="s">
        <v>602</v>
      </c>
    </row>
    <row r="24" spans="1:17" s="18" customFormat="1" ht="21.75" customHeight="1">
      <c r="A24" s="12" t="s">
        <v>19</v>
      </c>
      <c r="B24" s="10" t="s">
        <v>350</v>
      </c>
      <c r="C24" s="11">
        <v>1974</v>
      </c>
      <c r="D24" s="12" t="s">
        <v>87</v>
      </c>
      <c r="E24" s="11" t="s">
        <v>89</v>
      </c>
      <c r="F24" s="11">
        <v>5</v>
      </c>
      <c r="G24" s="11">
        <v>2</v>
      </c>
      <c r="H24" s="13">
        <v>1641.7</v>
      </c>
      <c r="I24" s="13">
        <v>1115</v>
      </c>
      <c r="J24" s="13">
        <v>1115</v>
      </c>
      <c r="K24" s="36">
        <v>86</v>
      </c>
      <c r="L24" s="13">
        <f>'Таблица 2, 3 виды ремонта'!C15</f>
        <v>1007280</v>
      </c>
      <c r="M24" s="14">
        <v>0</v>
      </c>
      <c r="N24" s="14">
        <v>0</v>
      </c>
      <c r="O24" s="14">
        <v>0</v>
      </c>
      <c r="P24" s="13">
        <f t="shared" si="0"/>
        <v>1007280</v>
      </c>
      <c r="Q24" s="15" t="s">
        <v>602</v>
      </c>
    </row>
    <row r="25" spans="1:17" s="18" customFormat="1" ht="21.75" customHeight="1">
      <c r="A25" s="12" t="s">
        <v>20</v>
      </c>
      <c r="B25" s="17" t="s">
        <v>298</v>
      </c>
      <c r="C25" s="12">
        <v>1954</v>
      </c>
      <c r="D25" s="12" t="s">
        <v>87</v>
      </c>
      <c r="E25" s="12" t="s">
        <v>89</v>
      </c>
      <c r="F25" s="12">
        <v>3</v>
      </c>
      <c r="G25" s="12">
        <v>2</v>
      </c>
      <c r="H25" s="14">
        <v>1084.8</v>
      </c>
      <c r="I25" s="14">
        <v>616.5</v>
      </c>
      <c r="J25" s="14">
        <v>360.5</v>
      </c>
      <c r="K25" s="12">
        <v>56</v>
      </c>
      <c r="L25" s="13">
        <f>'Таблица 2, 3 виды ремонта'!C16</f>
        <v>250000</v>
      </c>
      <c r="M25" s="14">
        <v>0</v>
      </c>
      <c r="N25" s="14">
        <v>0</v>
      </c>
      <c r="O25" s="14">
        <v>0</v>
      </c>
      <c r="P25" s="13">
        <f t="shared" si="0"/>
        <v>250000</v>
      </c>
      <c r="Q25" s="15" t="s">
        <v>602</v>
      </c>
    </row>
    <row r="26" spans="1:17" s="18" customFormat="1" ht="21.75" customHeight="1">
      <c r="A26" s="12" t="s">
        <v>21</v>
      </c>
      <c r="B26" s="16" t="s">
        <v>351</v>
      </c>
      <c r="C26" s="11">
        <v>1966</v>
      </c>
      <c r="D26" s="12" t="s">
        <v>87</v>
      </c>
      <c r="E26" s="11" t="s">
        <v>89</v>
      </c>
      <c r="F26" s="11">
        <v>5</v>
      </c>
      <c r="G26" s="11">
        <v>4</v>
      </c>
      <c r="H26" s="13">
        <v>3621.5</v>
      </c>
      <c r="I26" s="13">
        <v>3621.5</v>
      </c>
      <c r="J26" s="13">
        <v>3135.2</v>
      </c>
      <c r="K26" s="36">
        <v>165</v>
      </c>
      <c r="L26" s="13">
        <f>'Таблица 2, 3 виды ремонта'!C17</f>
        <v>1762671.02</v>
      </c>
      <c r="M26" s="14">
        <v>0</v>
      </c>
      <c r="N26" s="14">
        <v>0</v>
      </c>
      <c r="O26" s="14">
        <v>0</v>
      </c>
      <c r="P26" s="13">
        <f t="shared" si="0"/>
        <v>1762671.02</v>
      </c>
      <c r="Q26" s="15" t="s">
        <v>99</v>
      </c>
    </row>
    <row r="27" spans="1:17" s="18" customFormat="1" ht="21.75" customHeight="1">
      <c r="A27" s="12" t="s">
        <v>22</v>
      </c>
      <c r="B27" s="16" t="s">
        <v>352</v>
      </c>
      <c r="C27" s="11">
        <v>1967</v>
      </c>
      <c r="D27" s="12" t="s">
        <v>87</v>
      </c>
      <c r="E27" s="11" t="s">
        <v>88</v>
      </c>
      <c r="F27" s="11">
        <v>5</v>
      </c>
      <c r="G27" s="11">
        <v>4</v>
      </c>
      <c r="H27" s="13">
        <v>3839.5</v>
      </c>
      <c r="I27" s="13">
        <v>3839.5</v>
      </c>
      <c r="J27" s="13">
        <v>3520</v>
      </c>
      <c r="K27" s="36">
        <v>155</v>
      </c>
      <c r="L27" s="13">
        <f>'Таблица 2, 3 виды ремонта'!C18</f>
        <v>758204</v>
      </c>
      <c r="M27" s="14">
        <v>0</v>
      </c>
      <c r="N27" s="14">
        <v>0</v>
      </c>
      <c r="O27" s="14">
        <v>0</v>
      </c>
      <c r="P27" s="13">
        <f t="shared" si="0"/>
        <v>758204</v>
      </c>
      <c r="Q27" s="15" t="s">
        <v>602</v>
      </c>
    </row>
    <row r="28" spans="1:17" s="18" customFormat="1" ht="21.75" customHeight="1">
      <c r="A28" s="12" t="s">
        <v>23</v>
      </c>
      <c r="B28" s="10" t="s">
        <v>353</v>
      </c>
      <c r="C28" s="11">
        <v>1961</v>
      </c>
      <c r="D28" s="12" t="s">
        <v>87</v>
      </c>
      <c r="E28" s="11" t="s">
        <v>89</v>
      </c>
      <c r="F28" s="11">
        <v>5</v>
      </c>
      <c r="G28" s="11">
        <v>4</v>
      </c>
      <c r="H28" s="13">
        <v>3056.3</v>
      </c>
      <c r="I28" s="13">
        <f>2145.4+162.3</f>
        <v>2307.7000000000003</v>
      </c>
      <c r="J28" s="13">
        <v>2145.4</v>
      </c>
      <c r="K28" s="36">
        <v>136</v>
      </c>
      <c r="L28" s="13">
        <f>'Таблица 2, 3 виды ремонта'!C19</f>
        <v>1349230</v>
      </c>
      <c r="M28" s="14">
        <v>0</v>
      </c>
      <c r="N28" s="14">
        <v>0</v>
      </c>
      <c r="O28" s="14">
        <v>0</v>
      </c>
      <c r="P28" s="13">
        <f t="shared" si="0"/>
        <v>1349230</v>
      </c>
      <c r="Q28" s="15" t="s">
        <v>99</v>
      </c>
    </row>
    <row r="29" spans="1:17" s="18" customFormat="1" ht="21.75" customHeight="1">
      <c r="A29" s="12" t="s">
        <v>583</v>
      </c>
      <c r="B29" s="16" t="s">
        <v>354</v>
      </c>
      <c r="C29" s="11">
        <v>1964</v>
      </c>
      <c r="D29" s="12" t="s">
        <v>87</v>
      </c>
      <c r="E29" s="11" t="s">
        <v>89</v>
      </c>
      <c r="F29" s="11">
        <v>5</v>
      </c>
      <c r="G29" s="11">
        <v>2</v>
      </c>
      <c r="H29" s="13">
        <v>1802.4</v>
      </c>
      <c r="I29" s="13">
        <v>1733.8</v>
      </c>
      <c r="J29" s="13">
        <v>1348.1</v>
      </c>
      <c r="K29" s="36">
        <v>106</v>
      </c>
      <c r="L29" s="13">
        <f>'Таблица 2, 3 виды ремонта'!C20</f>
        <v>674982</v>
      </c>
      <c r="M29" s="14">
        <v>0</v>
      </c>
      <c r="N29" s="14">
        <v>0</v>
      </c>
      <c r="O29" s="14">
        <v>0</v>
      </c>
      <c r="P29" s="13">
        <f t="shared" si="0"/>
        <v>674982</v>
      </c>
      <c r="Q29" s="15" t="s">
        <v>602</v>
      </c>
    </row>
    <row r="30" spans="1:17" s="18" customFormat="1" ht="21.75" customHeight="1">
      <c r="A30" s="12" t="s">
        <v>24</v>
      </c>
      <c r="B30" s="10" t="s">
        <v>355</v>
      </c>
      <c r="C30" s="11">
        <v>1957</v>
      </c>
      <c r="D30" s="12" t="s">
        <v>87</v>
      </c>
      <c r="E30" s="11" t="s">
        <v>89</v>
      </c>
      <c r="F30" s="11">
        <v>3</v>
      </c>
      <c r="G30" s="11">
        <v>1</v>
      </c>
      <c r="H30" s="13">
        <v>2166.5</v>
      </c>
      <c r="I30" s="13">
        <v>2166.5</v>
      </c>
      <c r="J30" s="13">
        <v>1634.29</v>
      </c>
      <c r="K30" s="36">
        <v>123</v>
      </c>
      <c r="L30" s="13">
        <f>'Таблица 2, 3 виды ремонта'!C21</f>
        <v>961894</v>
      </c>
      <c r="M30" s="14">
        <v>0</v>
      </c>
      <c r="N30" s="14">
        <v>0</v>
      </c>
      <c r="O30" s="14">
        <v>0</v>
      </c>
      <c r="P30" s="13">
        <f t="shared" si="0"/>
        <v>961894</v>
      </c>
      <c r="Q30" s="15" t="s">
        <v>602</v>
      </c>
    </row>
    <row r="31" spans="1:17" s="18" customFormat="1" ht="21.75" customHeight="1">
      <c r="A31" s="12" t="s">
        <v>25</v>
      </c>
      <c r="B31" s="10" t="s">
        <v>356</v>
      </c>
      <c r="C31" s="11">
        <v>1972</v>
      </c>
      <c r="D31" s="12" t="s">
        <v>87</v>
      </c>
      <c r="E31" s="11" t="s">
        <v>89</v>
      </c>
      <c r="F31" s="11">
        <v>5</v>
      </c>
      <c r="G31" s="11">
        <v>4</v>
      </c>
      <c r="H31" s="13">
        <v>3460.42</v>
      </c>
      <c r="I31" s="13">
        <f>2456.1+88.6</f>
        <v>2544.7</v>
      </c>
      <c r="J31" s="13">
        <v>2544.7</v>
      </c>
      <c r="K31" s="36">
        <v>162</v>
      </c>
      <c r="L31" s="13">
        <f>'Таблица 2, 3 виды ремонта'!C22</f>
        <v>1747581.18</v>
      </c>
      <c r="M31" s="14">
        <v>0</v>
      </c>
      <c r="N31" s="14">
        <v>0</v>
      </c>
      <c r="O31" s="14">
        <v>0</v>
      </c>
      <c r="P31" s="13">
        <f t="shared" si="0"/>
        <v>1747581.18</v>
      </c>
      <c r="Q31" s="15" t="s">
        <v>99</v>
      </c>
    </row>
    <row r="32" spans="1:17" s="18" customFormat="1" ht="21.75" customHeight="1">
      <c r="A32" s="12" t="s">
        <v>25</v>
      </c>
      <c r="B32" s="10" t="s">
        <v>357</v>
      </c>
      <c r="C32" s="11">
        <v>1959</v>
      </c>
      <c r="D32" s="12" t="s">
        <v>87</v>
      </c>
      <c r="E32" s="11" t="s">
        <v>89</v>
      </c>
      <c r="F32" s="11">
        <v>3</v>
      </c>
      <c r="G32" s="11">
        <v>2</v>
      </c>
      <c r="H32" s="13">
        <v>1760.37</v>
      </c>
      <c r="I32" s="13">
        <v>829.97</v>
      </c>
      <c r="J32" s="13">
        <v>736.07</v>
      </c>
      <c r="K32" s="36">
        <v>55</v>
      </c>
      <c r="L32" s="13">
        <f>'Таблица 2, 3 виды ремонта'!C23</f>
        <v>1109600.2</v>
      </c>
      <c r="M32" s="14">
        <v>0</v>
      </c>
      <c r="N32" s="14">
        <v>0</v>
      </c>
      <c r="O32" s="14">
        <v>0</v>
      </c>
      <c r="P32" s="13">
        <f t="shared" si="0"/>
        <v>1109600.2</v>
      </c>
      <c r="Q32" s="15" t="s">
        <v>99</v>
      </c>
    </row>
    <row r="33" spans="1:17" s="18" customFormat="1" ht="21.75" customHeight="1">
      <c r="A33" s="12" t="s">
        <v>584</v>
      </c>
      <c r="B33" s="10" t="s">
        <v>358</v>
      </c>
      <c r="C33" s="11">
        <v>1959</v>
      </c>
      <c r="D33" s="12" t="s">
        <v>87</v>
      </c>
      <c r="E33" s="11" t="s">
        <v>89</v>
      </c>
      <c r="F33" s="11">
        <v>3</v>
      </c>
      <c r="G33" s="11">
        <v>2</v>
      </c>
      <c r="H33" s="13">
        <v>1511.55</v>
      </c>
      <c r="I33" s="13">
        <v>756.63</v>
      </c>
      <c r="J33" s="13">
        <v>656.43</v>
      </c>
      <c r="K33" s="36">
        <v>37</v>
      </c>
      <c r="L33" s="13">
        <f>'Таблица 2, 3 виды ремонта'!C24</f>
        <v>944696.2</v>
      </c>
      <c r="M33" s="14">
        <v>0</v>
      </c>
      <c r="N33" s="14">
        <v>0</v>
      </c>
      <c r="O33" s="14">
        <v>0</v>
      </c>
      <c r="P33" s="13">
        <f t="shared" si="0"/>
        <v>944696.2</v>
      </c>
      <c r="Q33" s="15" t="s">
        <v>99</v>
      </c>
    </row>
    <row r="34" spans="1:17" s="18" customFormat="1" ht="21.75" customHeight="1">
      <c r="A34" s="12" t="s">
        <v>26</v>
      </c>
      <c r="B34" s="10" t="s">
        <v>359</v>
      </c>
      <c r="C34" s="11">
        <v>1955</v>
      </c>
      <c r="D34" s="12" t="s">
        <v>87</v>
      </c>
      <c r="E34" s="11" t="s">
        <v>89</v>
      </c>
      <c r="F34" s="11">
        <v>3</v>
      </c>
      <c r="G34" s="11">
        <v>2</v>
      </c>
      <c r="H34" s="13">
        <v>1540.98</v>
      </c>
      <c r="I34" s="13">
        <v>795.03</v>
      </c>
      <c r="J34" s="13">
        <v>542.3399999999999</v>
      </c>
      <c r="K34" s="36">
        <v>42</v>
      </c>
      <c r="L34" s="13">
        <f>'Таблица 2, 3 виды ремонта'!C25</f>
        <v>62136</v>
      </c>
      <c r="M34" s="14">
        <v>0</v>
      </c>
      <c r="N34" s="14">
        <v>0</v>
      </c>
      <c r="O34" s="14">
        <v>0</v>
      </c>
      <c r="P34" s="13">
        <f t="shared" si="0"/>
        <v>62136</v>
      </c>
      <c r="Q34" s="15" t="s">
        <v>602</v>
      </c>
    </row>
    <row r="35" spans="1:17" s="18" customFormat="1" ht="21.75" customHeight="1">
      <c r="A35" s="12" t="s">
        <v>27</v>
      </c>
      <c r="B35" s="16" t="s">
        <v>360</v>
      </c>
      <c r="C35" s="11">
        <v>1976</v>
      </c>
      <c r="D35" s="12" t="s">
        <v>87</v>
      </c>
      <c r="E35" s="11" t="s">
        <v>89</v>
      </c>
      <c r="F35" s="11">
        <v>9</v>
      </c>
      <c r="G35" s="11">
        <v>2</v>
      </c>
      <c r="H35" s="13">
        <v>5619.7</v>
      </c>
      <c r="I35" s="13">
        <f>5255.9+254.4</f>
        <v>5510.299999999999</v>
      </c>
      <c r="J35" s="13">
        <v>4815.799999999999</v>
      </c>
      <c r="K35" s="36">
        <v>108</v>
      </c>
      <c r="L35" s="13">
        <f>'Таблица 2, 3 виды ремонта'!C26</f>
        <v>683386</v>
      </c>
      <c r="M35" s="14">
        <v>0</v>
      </c>
      <c r="N35" s="14">
        <v>0</v>
      </c>
      <c r="O35" s="14">
        <v>0</v>
      </c>
      <c r="P35" s="13">
        <f t="shared" si="0"/>
        <v>683386</v>
      </c>
      <c r="Q35" s="15" t="s">
        <v>602</v>
      </c>
    </row>
    <row r="36" spans="1:17" s="18" customFormat="1" ht="21.75" customHeight="1">
      <c r="A36" s="12" t="s">
        <v>28</v>
      </c>
      <c r="B36" s="10" t="s">
        <v>361</v>
      </c>
      <c r="C36" s="11">
        <v>1957</v>
      </c>
      <c r="D36" s="12" t="s">
        <v>87</v>
      </c>
      <c r="E36" s="11" t="s">
        <v>89</v>
      </c>
      <c r="F36" s="11">
        <v>2</v>
      </c>
      <c r="G36" s="11">
        <v>2</v>
      </c>
      <c r="H36" s="13">
        <v>2438</v>
      </c>
      <c r="I36" s="13">
        <v>678.2</v>
      </c>
      <c r="J36" s="13">
        <v>548</v>
      </c>
      <c r="K36" s="36">
        <v>43</v>
      </c>
      <c r="L36" s="13">
        <f>'Таблица 2, 3 виды ремонта'!C27</f>
        <v>363704.44</v>
      </c>
      <c r="M36" s="14">
        <v>0</v>
      </c>
      <c r="N36" s="14">
        <v>0</v>
      </c>
      <c r="O36" s="14">
        <v>0</v>
      </c>
      <c r="P36" s="13">
        <f t="shared" si="0"/>
        <v>363704.44</v>
      </c>
      <c r="Q36" s="15" t="s">
        <v>602</v>
      </c>
    </row>
    <row r="37" spans="1:17" s="18" customFormat="1" ht="21.75" customHeight="1">
      <c r="A37" s="12" t="s">
        <v>29</v>
      </c>
      <c r="B37" s="10" t="s">
        <v>362</v>
      </c>
      <c r="C37" s="11">
        <v>1953</v>
      </c>
      <c r="D37" s="12" t="s">
        <v>87</v>
      </c>
      <c r="E37" s="11" t="s">
        <v>89</v>
      </c>
      <c r="F37" s="11">
        <v>2</v>
      </c>
      <c r="G37" s="11">
        <v>1</v>
      </c>
      <c r="H37" s="13">
        <v>426.7</v>
      </c>
      <c r="I37" s="13">
        <v>392.2</v>
      </c>
      <c r="J37" s="13">
        <v>392.2</v>
      </c>
      <c r="K37" s="36">
        <v>19</v>
      </c>
      <c r="L37" s="13">
        <f>'Таблица 2, 3 виды ремонта'!C28</f>
        <v>1500000</v>
      </c>
      <c r="M37" s="14">
        <v>0</v>
      </c>
      <c r="N37" s="14">
        <v>0</v>
      </c>
      <c r="O37" s="14">
        <v>0</v>
      </c>
      <c r="P37" s="13">
        <f t="shared" si="0"/>
        <v>1500000</v>
      </c>
      <c r="Q37" s="15" t="s">
        <v>602</v>
      </c>
    </row>
    <row r="38" spans="1:17" s="18" customFormat="1" ht="21.75" customHeight="1">
      <c r="A38" s="12" t="s">
        <v>30</v>
      </c>
      <c r="B38" s="16" t="s">
        <v>363</v>
      </c>
      <c r="C38" s="11">
        <v>1963</v>
      </c>
      <c r="D38" s="12" t="s">
        <v>87</v>
      </c>
      <c r="E38" s="11" t="s">
        <v>89</v>
      </c>
      <c r="F38" s="11">
        <v>4</v>
      </c>
      <c r="G38" s="11">
        <v>2</v>
      </c>
      <c r="H38" s="13">
        <v>1286.3</v>
      </c>
      <c r="I38" s="13">
        <v>1261.9</v>
      </c>
      <c r="J38" s="13">
        <v>1107.7</v>
      </c>
      <c r="K38" s="36">
        <v>66</v>
      </c>
      <c r="L38" s="13">
        <f>'Таблица 2, 3 виды ремонта'!C29</f>
        <v>1102243.6</v>
      </c>
      <c r="M38" s="14">
        <v>0</v>
      </c>
      <c r="N38" s="14">
        <v>0</v>
      </c>
      <c r="O38" s="14">
        <v>0</v>
      </c>
      <c r="P38" s="13">
        <f t="shared" si="0"/>
        <v>1102243.6</v>
      </c>
      <c r="Q38" s="15" t="s">
        <v>602</v>
      </c>
    </row>
    <row r="39" spans="1:17" s="18" customFormat="1" ht="21.75" customHeight="1">
      <c r="A39" s="12" t="s">
        <v>31</v>
      </c>
      <c r="B39" s="21" t="s">
        <v>364</v>
      </c>
      <c r="C39" s="11" t="s">
        <v>98</v>
      </c>
      <c r="D39" s="12" t="s">
        <v>87</v>
      </c>
      <c r="E39" s="11" t="s">
        <v>89</v>
      </c>
      <c r="F39" s="11">
        <v>2</v>
      </c>
      <c r="G39" s="11">
        <v>3</v>
      </c>
      <c r="H39" s="13">
        <v>425.3</v>
      </c>
      <c r="I39" s="13">
        <v>286.1</v>
      </c>
      <c r="J39" s="13">
        <v>126.1</v>
      </c>
      <c r="K39" s="36">
        <v>23</v>
      </c>
      <c r="L39" s="13">
        <f>'Таблица 2, 3 виды ремонта'!C30</f>
        <v>217913</v>
      </c>
      <c r="M39" s="14">
        <v>0</v>
      </c>
      <c r="N39" s="14">
        <v>0</v>
      </c>
      <c r="O39" s="14">
        <v>0</v>
      </c>
      <c r="P39" s="13">
        <f t="shared" si="0"/>
        <v>217913</v>
      </c>
      <c r="Q39" s="15" t="s">
        <v>602</v>
      </c>
    </row>
    <row r="40" spans="1:17" s="18" customFormat="1" ht="21.75" customHeight="1">
      <c r="A40" s="12" t="s">
        <v>32</v>
      </c>
      <c r="B40" s="10" t="s">
        <v>365</v>
      </c>
      <c r="C40" s="11">
        <v>1953</v>
      </c>
      <c r="D40" s="12" t="s">
        <v>87</v>
      </c>
      <c r="E40" s="11" t="s">
        <v>89</v>
      </c>
      <c r="F40" s="11">
        <v>2</v>
      </c>
      <c r="G40" s="11">
        <v>2</v>
      </c>
      <c r="H40" s="13">
        <v>449</v>
      </c>
      <c r="I40" s="13">
        <v>387</v>
      </c>
      <c r="J40" s="13">
        <v>387</v>
      </c>
      <c r="K40" s="36">
        <v>21</v>
      </c>
      <c r="L40" s="13">
        <f>'Таблица 2, 3 виды ремонта'!C31</f>
        <v>543731.02</v>
      </c>
      <c r="M40" s="14">
        <v>0</v>
      </c>
      <c r="N40" s="14">
        <v>0</v>
      </c>
      <c r="O40" s="14">
        <v>0</v>
      </c>
      <c r="P40" s="13">
        <f t="shared" si="0"/>
        <v>543731.02</v>
      </c>
      <c r="Q40" s="15" t="s">
        <v>99</v>
      </c>
    </row>
    <row r="41" spans="1:17" s="18" customFormat="1" ht="21.75" customHeight="1">
      <c r="A41" s="12" t="s">
        <v>585</v>
      </c>
      <c r="B41" s="10" t="s">
        <v>366</v>
      </c>
      <c r="C41" s="11">
        <v>1969</v>
      </c>
      <c r="D41" s="12" t="s">
        <v>87</v>
      </c>
      <c r="E41" s="11" t="s">
        <v>89</v>
      </c>
      <c r="F41" s="11">
        <v>5</v>
      </c>
      <c r="G41" s="11">
        <v>4</v>
      </c>
      <c r="H41" s="13">
        <v>4629</v>
      </c>
      <c r="I41" s="13">
        <f>3529.2+1099.8</f>
        <v>4629</v>
      </c>
      <c r="J41" s="13">
        <v>2897.3999999999996</v>
      </c>
      <c r="K41" s="36">
        <v>196</v>
      </c>
      <c r="L41" s="13">
        <f>'Таблица 2, 3 виды ремонта'!C32</f>
        <v>902548</v>
      </c>
      <c r="M41" s="14">
        <v>0</v>
      </c>
      <c r="N41" s="14">
        <v>0</v>
      </c>
      <c r="O41" s="14">
        <v>0</v>
      </c>
      <c r="P41" s="13">
        <f t="shared" si="0"/>
        <v>902548</v>
      </c>
      <c r="Q41" s="15" t="s">
        <v>602</v>
      </c>
    </row>
    <row r="42" spans="1:17" s="18" customFormat="1" ht="21.75" customHeight="1">
      <c r="A42" s="12" t="s">
        <v>586</v>
      </c>
      <c r="B42" s="10" t="s">
        <v>367</v>
      </c>
      <c r="C42" s="11">
        <v>1971</v>
      </c>
      <c r="D42" s="12" t="s">
        <v>87</v>
      </c>
      <c r="E42" s="11" t="s">
        <v>89</v>
      </c>
      <c r="F42" s="11">
        <v>9</v>
      </c>
      <c r="G42" s="11">
        <v>1</v>
      </c>
      <c r="H42" s="13">
        <v>2951</v>
      </c>
      <c r="I42" s="13">
        <f>2238.3+712.7</f>
        <v>2951</v>
      </c>
      <c r="J42" s="13">
        <v>1940.5000000000002</v>
      </c>
      <c r="K42" s="36">
        <v>128</v>
      </c>
      <c r="L42" s="13">
        <f>'Таблица 2, 3 виды ремонта'!C33</f>
        <v>490940</v>
      </c>
      <c r="M42" s="14">
        <v>0</v>
      </c>
      <c r="N42" s="14">
        <v>0</v>
      </c>
      <c r="O42" s="14">
        <v>0</v>
      </c>
      <c r="P42" s="13">
        <f t="shared" si="0"/>
        <v>490940</v>
      </c>
      <c r="Q42" s="15" t="s">
        <v>602</v>
      </c>
    </row>
    <row r="43" spans="1:17" s="18" customFormat="1" ht="21.75" customHeight="1">
      <c r="A43" s="12" t="s">
        <v>33</v>
      </c>
      <c r="B43" s="10" t="s">
        <v>368</v>
      </c>
      <c r="C43" s="11">
        <v>1953</v>
      </c>
      <c r="D43" s="12" t="s">
        <v>87</v>
      </c>
      <c r="E43" s="11" t="s">
        <v>89</v>
      </c>
      <c r="F43" s="11">
        <v>2</v>
      </c>
      <c r="G43" s="11">
        <v>2</v>
      </c>
      <c r="H43" s="13">
        <v>871</v>
      </c>
      <c r="I43" s="13">
        <v>583</v>
      </c>
      <c r="J43" s="13">
        <v>392.4</v>
      </c>
      <c r="K43" s="36">
        <v>27</v>
      </c>
      <c r="L43" s="13">
        <f>'Таблица 2, 3 виды ремонта'!C34</f>
        <v>982591.35</v>
      </c>
      <c r="M43" s="14">
        <v>0</v>
      </c>
      <c r="N43" s="14">
        <v>0</v>
      </c>
      <c r="O43" s="14">
        <v>0</v>
      </c>
      <c r="P43" s="13">
        <f t="shared" si="0"/>
        <v>982591.35</v>
      </c>
      <c r="Q43" s="15" t="s">
        <v>602</v>
      </c>
    </row>
    <row r="44" spans="1:17" s="18" customFormat="1" ht="21.75" customHeight="1">
      <c r="A44" s="12" t="s">
        <v>34</v>
      </c>
      <c r="B44" s="10" t="s">
        <v>369</v>
      </c>
      <c r="C44" s="11">
        <v>1971</v>
      </c>
      <c r="D44" s="12" t="s">
        <v>87</v>
      </c>
      <c r="E44" s="11" t="s">
        <v>89</v>
      </c>
      <c r="F44" s="11">
        <v>9</v>
      </c>
      <c r="G44" s="11">
        <v>1</v>
      </c>
      <c r="H44" s="13">
        <v>3665</v>
      </c>
      <c r="I44" s="13">
        <f>2220.1+1444.9</f>
        <v>3665</v>
      </c>
      <c r="J44" s="13">
        <v>1865.8</v>
      </c>
      <c r="K44" s="36">
        <v>125</v>
      </c>
      <c r="L44" s="13">
        <f>'Таблица 2, 3 виды ремонта'!C35</f>
        <v>490940</v>
      </c>
      <c r="M44" s="14">
        <v>0</v>
      </c>
      <c r="N44" s="14">
        <v>0</v>
      </c>
      <c r="O44" s="14">
        <v>0</v>
      </c>
      <c r="P44" s="13">
        <f t="shared" si="0"/>
        <v>490940</v>
      </c>
      <c r="Q44" s="15" t="s">
        <v>602</v>
      </c>
    </row>
    <row r="45" spans="1:17" s="18" customFormat="1" ht="21.75" customHeight="1">
      <c r="A45" s="12" t="s">
        <v>35</v>
      </c>
      <c r="B45" s="10" t="s">
        <v>370</v>
      </c>
      <c r="C45" s="11">
        <v>1965</v>
      </c>
      <c r="D45" s="12" t="s">
        <v>87</v>
      </c>
      <c r="E45" s="11" t="s">
        <v>89</v>
      </c>
      <c r="F45" s="11">
        <v>5</v>
      </c>
      <c r="G45" s="11">
        <v>6</v>
      </c>
      <c r="H45" s="13">
        <v>5814</v>
      </c>
      <c r="I45" s="13">
        <f>4212.3+1601.7</f>
        <v>5814</v>
      </c>
      <c r="J45" s="13">
        <v>3548</v>
      </c>
      <c r="K45" s="36">
        <v>223</v>
      </c>
      <c r="L45" s="13">
        <f>'Таблица 2, 3 виды ремонта'!C36</f>
        <v>398619</v>
      </c>
      <c r="M45" s="14">
        <v>0</v>
      </c>
      <c r="N45" s="14">
        <v>0</v>
      </c>
      <c r="O45" s="14">
        <v>0</v>
      </c>
      <c r="P45" s="13">
        <f t="shared" si="0"/>
        <v>398619</v>
      </c>
      <c r="Q45" s="15" t="s">
        <v>602</v>
      </c>
    </row>
    <row r="46" spans="1:17" s="18" customFormat="1" ht="21.75" customHeight="1">
      <c r="A46" s="12" t="s">
        <v>36</v>
      </c>
      <c r="B46" s="10" t="s">
        <v>371</v>
      </c>
      <c r="C46" s="11">
        <v>1961</v>
      </c>
      <c r="D46" s="12" t="s">
        <v>87</v>
      </c>
      <c r="E46" s="11" t="s">
        <v>89</v>
      </c>
      <c r="F46" s="11">
        <v>3</v>
      </c>
      <c r="G46" s="11">
        <v>3</v>
      </c>
      <c r="H46" s="13">
        <v>1851</v>
      </c>
      <c r="I46" s="13">
        <v>1076.1</v>
      </c>
      <c r="J46" s="13">
        <v>722.3</v>
      </c>
      <c r="K46" s="36">
        <v>28</v>
      </c>
      <c r="L46" s="13">
        <f>'Таблица 2, 3 виды ремонта'!C37</f>
        <v>1167311.46</v>
      </c>
      <c r="M46" s="14">
        <v>0</v>
      </c>
      <c r="N46" s="14">
        <v>0</v>
      </c>
      <c r="O46" s="14">
        <v>0</v>
      </c>
      <c r="P46" s="13">
        <f t="shared" si="0"/>
        <v>1167311.46</v>
      </c>
      <c r="Q46" s="15" t="s">
        <v>99</v>
      </c>
    </row>
    <row r="47" spans="1:17" s="18" customFormat="1" ht="21.75" customHeight="1">
      <c r="A47" s="12" t="s">
        <v>37</v>
      </c>
      <c r="B47" s="10" t="s">
        <v>372</v>
      </c>
      <c r="C47" s="11">
        <v>1967</v>
      </c>
      <c r="D47" s="12" t="s">
        <v>87</v>
      </c>
      <c r="E47" s="11" t="s">
        <v>89</v>
      </c>
      <c r="F47" s="11">
        <v>5</v>
      </c>
      <c r="G47" s="11">
        <v>6</v>
      </c>
      <c r="H47" s="13">
        <v>6079</v>
      </c>
      <c r="I47" s="13">
        <f>4484.9+1594.1</f>
        <v>6079</v>
      </c>
      <c r="J47" s="13">
        <v>3522.3099999999995</v>
      </c>
      <c r="K47" s="36">
        <v>243</v>
      </c>
      <c r="L47" s="13">
        <f>'Таблица 2, 3 виды ремонта'!C38</f>
        <v>253344</v>
      </c>
      <c r="M47" s="14">
        <v>0</v>
      </c>
      <c r="N47" s="14">
        <v>0</v>
      </c>
      <c r="O47" s="14">
        <v>0</v>
      </c>
      <c r="P47" s="13">
        <f t="shared" si="0"/>
        <v>253344</v>
      </c>
      <c r="Q47" s="15" t="s">
        <v>602</v>
      </c>
    </row>
    <row r="48" spans="1:17" s="18" customFormat="1" ht="21.75" customHeight="1">
      <c r="A48" s="12" t="s">
        <v>38</v>
      </c>
      <c r="B48" s="10" t="s">
        <v>373</v>
      </c>
      <c r="C48" s="11">
        <v>1973</v>
      </c>
      <c r="D48" s="12" t="s">
        <v>87</v>
      </c>
      <c r="E48" s="11" t="s">
        <v>89</v>
      </c>
      <c r="F48" s="11">
        <v>5</v>
      </c>
      <c r="G48" s="11">
        <v>4</v>
      </c>
      <c r="H48" s="13">
        <v>5063</v>
      </c>
      <c r="I48" s="13">
        <f>3697.3+1365.7</f>
        <v>5063</v>
      </c>
      <c r="J48" s="13">
        <v>2985.7000000000003</v>
      </c>
      <c r="K48" s="36">
        <v>209</v>
      </c>
      <c r="L48" s="13">
        <f>'Таблица 2, 3 виды ремонта'!C39</f>
        <v>77810</v>
      </c>
      <c r="M48" s="14">
        <v>0</v>
      </c>
      <c r="N48" s="14">
        <v>0</v>
      </c>
      <c r="O48" s="14">
        <v>0</v>
      </c>
      <c r="P48" s="13">
        <f t="shared" si="0"/>
        <v>77810</v>
      </c>
      <c r="Q48" s="15" t="s">
        <v>602</v>
      </c>
    </row>
    <row r="49" spans="1:17" s="18" customFormat="1" ht="21.75" customHeight="1">
      <c r="A49" s="12" t="s">
        <v>39</v>
      </c>
      <c r="B49" s="10" t="s">
        <v>374</v>
      </c>
      <c r="C49" s="11">
        <v>1964</v>
      </c>
      <c r="D49" s="12" t="s">
        <v>87</v>
      </c>
      <c r="E49" s="11" t="s">
        <v>89</v>
      </c>
      <c r="F49" s="11">
        <v>5</v>
      </c>
      <c r="G49" s="11">
        <v>3</v>
      </c>
      <c r="H49" s="13">
        <v>3481</v>
      </c>
      <c r="I49" s="13">
        <f>2744.2+733.8</f>
        <v>3478</v>
      </c>
      <c r="J49" s="13">
        <v>2396.6</v>
      </c>
      <c r="K49" s="36">
        <v>143</v>
      </c>
      <c r="L49" s="13">
        <f>'Таблица 2, 3 виды ремонта'!C40</f>
        <v>703654</v>
      </c>
      <c r="M49" s="14">
        <v>0</v>
      </c>
      <c r="N49" s="14">
        <v>0</v>
      </c>
      <c r="O49" s="14">
        <v>0</v>
      </c>
      <c r="P49" s="13">
        <f t="shared" si="0"/>
        <v>703654</v>
      </c>
      <c r="Q49" s="15" t="s">
        <v>602</v>
      </c>
    </row>
    <row r="50" spans="1:17" s="18" customFormat="1" ht="21.75" customHeight="1">
      <c r="A50" s="12" t="s">
        <v>40</v>
      </c>
      <c r="B50" s="20" t="s">
        <v>579</v>
      </c>
      <c r="C50" s="11">
        <v>1968</v>
      </c>
      <c r="D50" s="12" t="s">
        <v>87</v>
      </c>
      <c r="E50" s="11" t="s">
        <v>89</v>
      </c>
      <c r="F50" s="11">
        <v>2</v>
      </c>
      <c r="G50" s="11">
        <v>2</v>
      </c>
      <c r="H50" s="13">
        <v>635.6</v>
      </c>
      <c r="I50" s="13">
        <v>635.6</v>
      </c>
      <c r="J50" s="13">
        <v>635.6</v>
      </c>
      <c r="K50" s="36">
        <v>37</v>
      </c>
      <c r="L50" s="13">
        <f>'Таблица 2, 3 виды ремонта'!C41</f>
        <v>945667</v>
      </c>
      <c r="M50" s="14">
        <v>0</v>
      </c>
      <c r="N50" s="14">
        <v>0</v>
      </c>
      <c r="O50" s="14">
        <v>0</v>
      </c>
      <c r="P50" s="13">
        <f t="shared" si="0"/>
        <v>945667</v>
      </c>
      <c r="Q50" s="15" t="s">
        <v>602</v>
      </c>
    </row>
    <row r="51" spans="1:17" s="18" customFormat="1" ht="21.75" customHeight="1">
      <c r="A51" s="12" t="s">
        <v>41</v>
      </c>
      <c r="B51" s="20" t="s">
        <v>375</v>
      </c>
      <c r="C51" s="11">
        <v>1963</v>
      </c>
      <c r="D51" s="12" t="s">
        <v>87</v>
      </c>
      <c r="E51" s="11" t="s">
        <v>89</v>
      </c>
      <c r="F51" s="11">
        <v>5</v>
      </c>
      <c r="G51" s="11">
        <v>3</v>
      </c>
      <c r="H51" s="13">
        <v>4495.28</v>
      </c>
      <c r="I51" s="13">
        <f>2886.38+66.1</f>
        <v>2952.48</v>
      </c>
      <c r="J51" s="13">
        <v>2455.09</v>
      </c>
      <c r="K51" s="36">
        <v>154</v>
      </c>
      <c r="L51" s="13">
        <f>'Таблица 2, 3 виды ремонта'!C42</f>
        <v>1544653.04</v>
      </c>
      <c r="M51" s="14">
        <v>0</v>
      </c>
      <c r="N51" s="14">
        <v>0</v>
      </c>
      <c r="O51" s="14">
        <v>0</v>
      </c>
      <c r="P51" s="13">
        <f t="shared" si="0"/>
        <v>1544653.04</v>
      </c>
      <c r="Q51" s="15" t="s">
        <v>99</v>
      </c>
    </row>
    <row r="52" spans="1:17" s="18" customFormat="1" ht="21.75" customHeight="1">
      <c r="A52" s="12" t="s">
        <v>42</v>
      </c>
      <c r="B52" s="20" t="s">
        <v>376</v>
      </c>
      <c r="C52" s="11">
        <v>1962</v>
      </c>
      <c r="D52" s="12" t="s">
        <v>87</v>
      </c>
      <c r="E52" s="11" t="s">
        <v>89</v>
      </c>
      <c r="F52" s="11">
        <v>5</v>
      </c>
      <c r="G52" s="11">
        <v>3</v>
      </c>
      <c r="H52" s="13">
        <v>4521.49</v>
      </c>
      <c r="I52" s="13">
        <v>2978.68</v>
      </c>
      <c r="J52" s="13">
        <v>2477.42</v>
      </c>
      <c r="K52" s="36">
        <v>146</v>
      </c>
      <c r="L52" s="13">
        <f>'Таблица 2, 3 виды ремонта'!C43</f>
        <v>1546459.62</v>
      </c>
      <c r="M52" s="14">
        <v>0</v>
      </c>
      <c r="N52" s="14">
        <v>0</v>
      </c>
      <c r="O52" s="14">
        <v>0</v>
      </c>
      <c r="P52" s="13">
        <f t="shared" si="0"/>
        <v>1546459.62</v>
      </c>
      <c r="Q52" s="15" t="s">
        <v>99</v>
      </c>
    </row>
    <row r="53" spans="1:17" s="18" customFormat="1" ht="21.75" customHeight="1">
      <c r="A53" s="12" t="s">
        <v>43</v>
      </c>
      <c r="B53" s="10" t="s">
        <v>580</v>
      </c>
      <c r="C53" s="11">
        <v>1982</v>
      </c>
      <c r="D53" s="12" t="s">
        <v>87</v>
      </c>
      <c r="E53" s="11" t="s">
        <v>88</v>
      </c>
      <c r="F53" s="11">
        <v>4</v>
      </c>
      <c r="G53" s="11">
        <v>2</v>
      </c>
      <c r="H53" s="13">
        <v>1104.6</v>
      </c>
      <c r="I53" s="13">
        <v>1104.6</v>
      </c>
      <c r="J53" s="13">
        <v>1104.6</v>
      </c>
      <c r="K53" s="36">
        <v>63</v>
      </c>
      <c r="L53" s="13">
        <f>'Таблица 2, 3 виды ремонта'!C44</f>
        <v>1505394.22</v>
      </c>
      <c r="M53" s="14">
        <v>0</v>
      </c>
      <c r="N53" s="14">
        <v>0</v>
      </c>
      <c r="O53" s="14">
        <v>0</v>
      </c>
      <c r="P53" s="13">
        <f t="shared" si="0"/>
        <v>1505394.22</v>
      </c>
      <c r="Q53" s="15" t="s">
        <v>602</v>
      </c>
    </row>
    <row r="54" spans="1:17" s="18" customFormat="1" ht="21.75" customHeight="1">
      <c r="A54" s="12" t="s">
        <v>44</v>
      </c>
      <c r="B54" s="10" t="s">
        <v>581</v>
      </c>
      <c r="C54" s="11">
        <v>1984</v>
      </c>
      <c r="D54" s="12" t="s">
        <v>87</v>
      </c>
      <c r="E54" s="11" t="s">
        <v>88</v>
      </c>
      <c r="F54" s="11">
        <v>4</v>
      </c>
      <c r="G54" s="11">
        <v>2</v>
      </c>
      <c r="H54" s="13">
        <v>1636.35</v>
      </c>
      <c r="I54" s="13">
        <f>1117.85+518.5</f>
        <v>1636.35</v>
      </c>
      <c r="J54" s="13">
        <v>1117.85</v>
      </c>
      <c r="K54" s="36">
        <v>62</v>
      </c>
      <c r="L54" s="13">
        <f>'Таблица 2, 3 виды ремонта'!C45</f>
        <v>1766076.7</v>
      </c>
      <c r="M54" s="14">
        <v>0</v>
      </c>
      <c r="N54" s="14">
        <v>0</v>
      </c>
      <c r="O54" s="14">
        <v>0</v>
      </c>
      <c r="P54" s="13">
        <f t="shared" si="0"/>
        <v>1766076.7</v>
      </c>
      <c r="Q54" s="15" t="s">
        <v>602</v>
      </c>
    </row>
    <row r="55" spans="1:17" s="18" customFormat="1" ht="21.75" customHeight="1">
      <c r="A55" s="12" t="s">
        <v>45</v>
      </c>
      <c r="B55" s="10" t="s">
        <v>582</v>
      </c>
      <c r="C55" s="11">
        <v>1991</v>
      </c>
      <c r="D55" s="12" t="s">
        <v>87</v>
      </c>
      <c r="E55" s="11" t="s">
        <v>88</v>
      </c>
      <c r="F55" s="11">
        <v>2</v>
      </c>
      <c r="G55" s="11">
        <v>1</v>
      </c>
      <c r="H55" s="13">
        <v>514.34</v>
      </c>
      <c r="I55" s="13">
        <v>514.34</v>
      </c>
      <c r="J55" s="13">
        <v>514.34</v>
      </c>
      <c r="K55" s="36">
        <v>21</v>
      </c>
      <c r="L55" s="13">
        <f>'Таблица 2, 3 виды ремонта'!C46</f>
        <v>1301004</v>
      </c>
      <c r="M55" s="14">
        <v>0</v>
      </c>
      <c r="N55" s="14">
        <v>0</v>
      </c>
      <c r="O55" s="14">
        <v>0</v>
      </c>
      <c r="P55" s="13">
        <f t="shared" si="0"/>
        <v>1301004</v>
      </c>
      <c r="Q55" s="15" t="s">
        <v>99</v>
      </c>
    </row>
    <row r="56" spans="1:17" s="18" customFormat="1" ht="21.75" customHeight="1">
      <c r="A56" s="12" t="s">
        <v>46</v>
      </c>
      <c r="B56" s="19" t="s">
        <v>377</v>
      </c>
      <c r="C56" s="11">
        <v>1950</v>
      </c>
      <c r="D56" s="12" t="s">
        <v>87</v>
      </c>
      <c r="E56" s="11" t="s">
        <v>89</v>
      </c>
      <c r="F56" s="11">
        <v>4</v>
      </c>
      <c r="G56" s="11">
        <v>4</v>
      </c>
      <c r="H56" s="13">
        <v>2659.78</v>
      </c>
      <c r="I56" s="13">
        <v>2659.78</v>
      </c>
      <c r="J56" s="13">
        <v>2659.78</v>
      </c>
      <c r="K56" s="36">
        <v>101</v>
      </c>
      <c r="L56" s="13">
        <f>'Таблица 2, 3 виды ремонта'!C47</f>
        <v>3412299</v>
      </c>
      <c r="M56" s="14">
        <v>0</v>
      </c>
      <c r="N56" s="14">
        <v>0</v>
      </c>
      <c r="O56" s="14">
        <v>0</v>
      </c>
      <c r="P56" s="13">
        <f t="shared" si="0"/>
        <v>3412299</v>
      </c>
      <c r="Q56" s="15" t="s">
        <v>602</v>
      </c>
    </row>
    <row r="57" spans="1:17" s="18" customFormat="1" ht="21.75" customHeight="1">
      <c r="A57" s="12" t="s">
        <v>47</v>
      </c>
      <c r="B57" s="19" t="s">
        <v>378</v>
      </c>
      <c r="C57" s="11">
        <v>1968</v>
      </c>
      <c r="D57" s="12" t="s">
        <v>87</v>
      </c>
      <c r="E57" s="11" t="s">
        <v>89</v>
      </c>
      <c r="F57" s="11">
        <v>10</v>
      </c>
      <c r="G57" s="11">
        <v>1</v>
      </c>
      <c r="H57" s="13">
        <v>3068.5</v>
      </c>
      <c r="I57" s="13">
        <f>1859.19+1064.81</f>
        <v>2924</v>
      </c>
      <c r="J57" s="13">
        <v>1823.29</v>
      </c>
      <c r="K57" s="36">
        <v>69</v>
      </c>
      <c r="L57" s="13">
        <f>'Таблица 2, 3 виды ремонта'!C48</f>
        <v>1647290.73</v>
      </c>
      <c r="M57" s="14">
        <v>0</v>
      </c>
      <c r="N57" s="14">
        <v>0</v>
      </c>
      <c r="O57" s="14">
        <v>0</v>
      </c>
      <c r="P57" s="13">
        <f t="shared" si="0"/>
        <v>1647290.73</v>
      </c>
      <c r="Q57" s="15" t="s">
        <v>602</v>
      </c>
    </row>
    <row r="58" spans="1:17" s="18" customFormat="1" ht="21.75" customHeight="1">
      <c r="A58" s="12" t="s">
        <v>48</v>
      </c>
      <c r="B58" s="16" t="s">
        <v>576</v>
      </c>
      <c r="C58" s="11">
        <v>1936</v>
      </c>
      <c r="D58" s="12" t="s">
        <v>87</v>
      </c>
      <c r="E58" s="11" t="s">
        <v>89</v>
      </c>
      <c r="F58" s="11">
        <v>1</v>
      </c>
      <c r="G58" s="11">
        <v>1</v>
      </c>
      <c r="H58" s="13">
        <v>94.1</v>
      </c>
      <c r="I58" s="13">
        <v>73.6</v>
      </c>
      <c r="J58" s="13">
        <v>73.6</v>
      </c>
      <c r="K58" s="36">
        <v>4</v>
      </c>
      <c r="L58" s="13">
        <f>'Таблица 2, 3 виды ремонта'!C49</f>
        <v>353737</v>
      </c>
      <c r="M58" s="14">
        <v>0</v>
      </c>
      <c r="N58" s="14">
        <v>0</v>
      </c>
      <c r="O58" s="14">
        <v>0</v>
      </c>
      <c r="P58" s="13">
        <f t="shared" si="0"/>
        <v>353737</v>
      </c>
      <c r="Q58" s="15" t="s">
        <v>602</v>
      </c>
    </row>
    <row r="59" spans="1:17" s="18" customFormat="1" ht="21.75" customHeight="1">
      <c r="A59" s="12" t="s">
        <v>49</v>
      </c>
      <c r="B59" s="10" t="s">
        <v>379</v>
      </c>
      <c r="C59" s="11">
        <v>1987</v>
      </c>
      <c r="D59" s="12" t="s">
        <v>87</v>
      </c>
      <c r="E59" s="11" t="s">
        <v>89</v>
      </c>
      <c r="F59" s="11">
        <v>9</v>
      </c>
      <c r="G59" s="11">
        <v>6</v>
      </c>
      <c r="H59" s="13">
        <v>14338.76</v>
      </c>
      <c r="I59" s="13">
        <f>12571.86+1331.9</f>
        <v>13903.76</v>
      </c>
      <c r="J59" s="13">
        <v>12031.480000000001</v>
      </c>
      <c r="K59" s="36">
        <v>493</v>
      </c>
      <c r="L59" s="13">
        <f>'Таблица 2, 3 виды ремонта'!C50</f>
        <v>2347452</v>
      </c>
      <c r="M59" s="14">
        <v>0</v>
      </c>
      <c r="N59" s="14">
        <v>0</v>
      </c>
      <c r="O59" s="14">
        <v>0</v>
      </c>
      <c r="P59" s="13">
        <f t="shared" si="0"/>
        <v>2347452</v>
      </c>
      <c r="Q59" s="15" t="s">
        <v>602</v>
      </c>
    </row>
    <row r="60" spans="1:17" s="18" customFormat="1" ht="21.75" customHeight="1">
      <c r="A60" s="12" t="s">
        <v>50</v>
      </c>
      <c r="B60" s="10" t="s">
        <v>380</v>
      </c>
      <c r="C60" s="12">
        <v>1975</v>
      </c>
      <c r="D60" s="12" t="s">
        <v>87</v>
      </c>
      <c r="E60" s="12" t="s">
        <v>88</v>
      </c>
      <c r="F60" s="12">
        <v>9</v>
      </c>
      <c r="G60" s="12">
        <v>2</v>
      </c>
      <c r="H60" s="14">
        <v>4270.59</v>
      </c>
      <c r="I60" s="14">
        <v>3889.59</v>
      </c>
      <c r="J60" s="13">
        <v>3575.28</v>
      </c>
      <c r="K60" s="23">
        <v>181</v>
      </c>
      <c r="L60" s="13">
        <f>'Таблица 2, 3 виды ремонта'!C51</f>
        <v>12453373</v>
      </c>
      <c r="M60" s="14">
        <v>0</v>
      </c>
      <c r="N60" s="14">
        <v>0</v>
      </c>
      <c r="O60" s="14">
        <v>0</v>
      </c>
      <c r="P60" s="13">
        <f t="shared" si="0"/>
        <v>12453373</v>
      </c>
      <c r="Q60" s="15" t="s">
        <v>602</v>
      </c>
    </row>
    <row r="61" spans="1:17" s="18" customFormat="1" ht="21.75" customHeight="1">
      <c r="A61" s="12" t="s">
        <v>604</v>
      </c>
      <c r="B61" s="17" t="s">
        <v>299</v>
      </c>
      <c r="C61" s="12">
        <v>1950</v>
      </c>
      <c r="D61" s="12" t="s">
        <v>87</v>
      </c>
      <c r="E61" s="12" t="s">
        <v>89</v>
      </c>
      <c r="F61" s="12">
        <v>2</v>
      </c>
      <c r="G61" s="12">
        <v>2</v>
      </c>
      <c r="H61" s="14">
        <v>978</v>
      </c>
      <c r="I61" s="14">
        <v>683</v>
      </c>
      <c r="J61" s="14">
        <v>656</v>
      </c>
      <c r="K61" s="12">
        <v>43</v>
      </c>
      <c r="L61" s="13">
        <f>'Таблица 2, 3 виды ремонта'!C52</f>
        <v>250000</v>
      </c>
      <c r="M61" s="14">
        <v>0</v>
      </c>
      <c r="N61" s="14">
        <v>0</v>
      </c>
      <c r="O61" s="14">
        <v>0</v>
      </c>
      <c r="P61" s="13">
        <f t="shared" si="0"/>
        <v>250000</v>
      </c>
      <c r="Q61" s="15" t="s">
        <v>602</v>
      </c>
    </row>
    <row r="62" spans="1:17" s="18" customFormat="1" ht="21.75" customHeight="1">
      <c r="A62" s="12" t="s">
        <v>605</v>
      </c>
      <c r="B62" s="17" t="s">
        <v>300</v>
      </c>
      <c r="C62" s="12">
        <v>1917</v>
      </c>
      <c r="D62" s="12" t="s">
        <v>87</v>
      </c>
      <c r="E62" s="12" t="s">
        <v>89</v>
      </c>
      <c r="F62" s="12">
        <v>2</v>
      </c>
      <c r="G62" s="12">
        <v>7</v>
      </c>
      <c r="H62" s="14">
        <v>2175.6</v>
      </c>
      <c r="I62" s="14">
        <v>1997.9</v>
      </c>
      <c r="J62" s="14">
        <v>921.48</v>
      </c>
      <c r="K62" s="12">
        <v>37</v>
      </c>
      <c r="L62" s="13">
        <f>'Таблица 2, 3 виды ремонта'!C53</f>
        <v>250000</v>
      </c>
      <c r="M62" s="14">
        <v>0</v>
      </c>
      <c r="N62" s="14">
        <v>0</v>
      </c>
      <c r="O62" s="14">
        <v>0</v>
      </c>
      <c r="P62" s="13">
        <f t="shared" si="0"/>
        <v>250000</v>
      </c>
      <c r="Q62" s="15" t="s">
        <v>602</v>
      </c>
    </row>
    <row r="63" spans="1:17" s="18" customFormat="1" ht="21.75" customHeight="1">
      <c r="A63" s="12" t="s">
        <v>51</v>
      </c>
      <c r="B63" s="17" t="s">
        <v>381</v>
      </c>
      <c r="C63" s="11" t="s">
        <v>98</v>
      </c>
      <c r="D63" s="12" t="s">
        <v>87</v>
      </c>
      <c r="E63" s="11" t="s">
        <v>89</v>
      </c>
      <c r="F63" s="11">
        <v>2</v>
      </c>
      <c r="G63" s="11">
        <v>2</v>
      </c>
      <c r="H63" s="13">
        <v>613.04</v>
      </c>
      <c r="I63" s="13">
        <f>331.21+246</f>
        <v>577.21</v>
      </c>
      <c r="J63" s="13">
        <v>292.81</v>
      </c>
      <c r="K63" s="36">
        <v>11</v>
      </c>
      <c r="L63" s="13">
        <f>'Таблица 2, 3 виды ремонта'!C54</f>
        <v>830509</v>
      </c>
      <c r="M63" s="14">
        <v>0</v>
      </c>
      <c r="N63" s="14">
        <v>0</v>
      </c>
      <c r="O63" s="14">
        <v>0</v>
      </c>
      <c r="P63" s="13">
        <f t="shared" si="0"/>
        <v>830509</v>
      </c>
      <c r="Q63" s="15" t="s">
        <v>602</v>
      </c>
    </row>
    <row r="64" spans="1:17" s="18" customFormat="1" ht="21.75" customHeight="1">
      <c r="A64" s="12" t="s">
        <v>52</v>
      </c>
      <c r="B64" s="17" t="s">
        <v>382</v>
      </c>
      <c r="C64" s="11" t="s">
        <v>98</v>
      </c>
      <c r="D64" s="12" t="s">
        <v>87</v>
      </c>
      <c r="E64" s="11" t="s">
        <v>89</v>
      </c>
      <c r="F64" s="11">
        <v>1</v>
      </c>
      <c r="G64" s="11">
        <v>2</v>
      </c>
      <c r="H64" s="13">
        <v>372.55</v>
      </c>
      <c r="I64" s="13">
        <f>146.6+90.4</f>
        <v>237</v>
      </c>
      <c r="J64" s="13">
        <v>107.6</v>
      </c>
      <c r="K64" s="36">
        <v>11</v>
      </c>
      <c r="L64" s="13">
        <f>'Таблица 2, 3 виды ремонта'!C55</f>
        <v>460900</v>
      </c>
      <c r="M64" s="14">
        <v>0</v>
      </c>
      <c r="N64" s="14">
        <v>0</v>
      </c>
      <c r="O64" s="14">
        <v>0</v>
      </c>
      <c r="P64" s="13">
        <f t="shared" si="0"/>
        <v>460900</v>
      </c>
      <c r="Q64" s="15" t="s">
        <v>602</v>
      </c>
    </row>
    <row r="65" spans="1:17" s="18" customFormat="1" ht="21.75" customHeight="1">
      <c r="A65" s="12" t="s">
        <v>53</v>
      </c>
      <c r="B65" s="17" t="s">
        <v>383</v>
      </c>
      <c r="C65" s="11">
        <v>1927</v>
      </c>
      <c r="D65" s="12" t="s">
        <v>87</v>
      </c>
      <c r="E65" s="11" t="s">
        <v>89</v>
      </c>
      <c r="F65" s="11">
        <v>4</v>
      </c>
      <c r="G65" s="11">
        <v>2</v>
      </c>
      <c r="H65" s="13">
        <v>1296.61</v>
      </c>
      <c r="I65" s="13">
        <f>891.41+256.2</f>
        <v>1147.61</v>
      </c>
      <c r="J65" s="13">
        <v>815.51</v>
      </c>
      <c r="K65" s="36">
        <v>47</v>
      </c>
      <c r="L65" s="13">
        <f>'Таблица 2, 3 виды ремонта'!C56</f>
        <v>395000</v>
      </c>
      <c r="M65" s="14">
        <v>0</v>
      </c>
      <c r="N65" s="14">
        <v>0</v>
      </c>
      <c r="O65" s="14">
        <v>0</v>
      </c>
      <c r="P65" s="13">
        <f t="shared" si="0"/>
        <v>395000</v>
      </c>
      <c r="Q65" s="15" t="s">
        <v>602</v>
      </c>
    </row>
    <row r="66" spans="1:17" s="18" customFormat="1" ht="21.75" customHeight="1">
      <c r="A66" s="12" t="s">
        <v>330</v>
      </c>
      <c r="B66" s="17" t="s">
        <v>301</v>
      </c>
      <c r="C66" s="12">
        <v>1917</v>
      </c>
      <c r="D66" s="12" t="s">
        <v>87</v>
      </c>
      <c r="E66" s="12" t="s">
        <v>89</v>
      </c>
      <c r="F66" s="12">
        <v>4</v>
      </c>
      <c r="G66" s="12">
        <v>2</v>
      </c>
      <c r="H66" s="14">
        <v>1129.2</v>
      </c>
      <c r="I66" s="14">
        <v>1029.8</v>
      </c>
      <c r="J66" s="14">
        <v>694.91</v>
      </c>
      <c r="K66" s="12">
        <v>22</v>
      </c>
      <c r="L66" s="13">
        <f>'Таблица 2, 3 виды ремонта'!C57</f>
        <v>250000</v>
      </c>
      <c r="M66" s="14">
        <v>0</v>
      </c>
      <c r="N66" s="14">
        <v>0</v>
      </c>
      <c r="O66" s="14">
        <v>0</v>
      </c>
      <c r="P66" s="13">
        <f t="shared" si="0"/>
        <v>250000</v>
      </c>
      <c r="Q66" s="15" t="s">
        <v>602</v>
      </c>
    </row>
    <row r="67" spans="1:17" s="18" customFormat="1" ht="21.75" customHeight="1">
      <c r="A67" s="12" t="s">
        <v>54</v>
      </c>
      <c r="B67" s="10" t="s">
        <v>384</v>
      </c>
      <c r="C67" s="11">
        <v>1955</v>
      </c>
      <c r="D67" s="12" t="s">
        <v>87</v>
      </c>
      <c r="E67" s="11" t="s">
        <v>89</v>
      </c>
      <c r="F67" s="11">
        <v>5</v>
      </c>
      <c r="G67" s="11">
        <v>4</v>
      </c>
      <c r="H67" s="13">
        <v>4102.3</v>
      </c>
      <c r="I67" s="13">
        <f>2821.3+931.2</f>
        <v>3752.5</v>
      </c>
      <c r="J67" s="13">
        <v>2821.3</v>
      </c>
      <c r="K67" s="36">
        <v>94</v>
      </c>
      <c r="L67" s="13">
        <f>'Таблица 2, 3 виды ремонта'!C58</f>
        <v>6776669.07</v>
      </c>
      <c r="M67" s="14">
        <v>0</v>
      </c>
      <c r="N67" s="14">
        <v>0</v>
      </c>
      <c r="O67" s="14">
        <v>0</v>
      </c>
      <c r="P67" s="13">
        <f t="shared" si="0"/>
        <v>6776669.07</v>
      </c>
      <c r="Q67" s="15" t="s">
        <v>602</v>
      </c>
    </row>
    <row r="68" spans="1:17" s="18" customFormat="1" ht="21.75" customHeight="1">
      <c r="A68" s="12" t="s">
        <v>55</v>
      </c>
      <c r="B68" s="10" t="s">
        <v>385</v>
      </c>
      <c r="C68" s="11">
        <v>1958</v>
      </c>
      <c r="D68" s="12" t="s">
        <v>87</v>
      </c>
      <c r="E68" s="11" t="s">
        <v>89</v>
      </c>
      <c r="F68" s="11">
        <v>2</v>
      </c>
      <c r="G68" s="11">
        <v>1</v>
      </c>
      <c r="H68" s="13">
        <v>297</v>
      </c>
      <c r="I68" s="13">
        <f>175+108</f>
        <v>283</v>
      </c>
      <c r="J68" s="13">
        <v>28</v>
      </c>
      <c r="K68" s="36">
        <v>13</v>
      </c>
      <c r="L68" s="13">
        <f>'Таблица 2, 3 виды ремонта'!C59</f>
        <v>597387.98</v>
      </c>
      <c r="M68" s="14">
        <v>0</v>
      </c>
      <c r="N68" s="14">
        <v>0</v>
      </c>
      <c r="O68" s="14">
        <v>0</v>
      </c>
      <c r="P68" s="13">
        <f t="shared" si="0"/>
        <v>597387.98</v>
      </c>
      <c r="Q68" s="15" t="s">
        <v>99</v>
      </c>
    </row>
    <row r="69" spans="1:17" s="18" customFormat="1" ht="21.75" customHeight="1">
      <c r="A69" s="12" t="s">
        <v>56</v>
      </c>
      <c r="B69" s="10" t="s">
        <v>386</v>
      </c>
      <c r="C69" s="11">
        <v>1952</v>
      </c>
      <c r="D69" s="12" t="s">
        <v>87</v>
      </c>
      <c r="E69" s="11" t="s">
        <v>89</v>
      </c>
      <c r="F69" s="11">
        <v>4</v>
      </c>
      <c r="G69" s="11">
        <v>3</v>
      </c>
      <c r="H69" s="13">
        <v>3059.12</v>
      </c>
      <c r="I69" s="13">
        <f>2398.52+660.6</f>
        <v>3059.12</v>
      </c>
      <c r="J69" s="13">
        <v>2398.52</v>
      </c>
      <c r="K69" s="36">
        <v>78</v>
      </c>
      <c r="L69" s="13">
        <f>'Таблица 2, 3 виды ремонта'!C60</f>
        <v>1875953</v>
      </c>
      <c r="M69" s="14">
        <v>0</v>
      </c>
      <c r="N69" s="14">
        <v>0</v>
      </c>
      <c r="O69" s="14">
        <v>0</v>
      </c>
      <c r="P69" s="13">
        <f t="shared" si="0"/>
        <v>1875953</v>
      </c>
      <c r="Q69" s="15" t="s">
        <v>602</v>
      </c>
    </row>
    <row r="70" spans="1:17" s="18" customFormat="1" ht="21.75" customHeight="1">
      <c r="A70" s="12" t="s">
        <v>57</v>
      </c>
      <c r="B70" s="10" t="s">
        <v>387</v>
      </c>
      <c r="C70" s="11">
        <v>1972</v>
      </c>
      <c r="D70" s="12" t="s">
        <v>87</v>
      </c>
      <c r="E70" s="11" t="s">
        <v>89</v>
      </c>
      <c r="F70" s="11">
        <v>9</v>
      </c>
      <c r="G70" s="11">
        <v>1</v>
      </c>
      <c r="H70" s="13">
        <v>2347.2</v>
      </c>
      <c r="I70" s="13">
        <f>2071.6+275.6</f>
        <v>2347.2</v>
      </c>
      <c r="J70" s="13">
        <v>2071.6</v>
      </c>
      <c r="K70" s="36">
        <v>82</v>
      </c>
      <c r="L70" s="13">
        <f>'Таблица 2, 3 виды ремонта'!C61</f>
        <v>1248444</v>
      </c>
      <c r="M70" s="14">
        <v>0</v>
      </c>
      <c r="N70" s="14">
        <v>0</v>
      </c>
      <c r="O70" s="14">
        <v>0</v>
      </c>
      <c r="P70" s="13">
        <f t="shared" si="0"/>
        <v>1248444</v>
      </c>
      <c r="Q70" s="15" t="s">
        <v>602</v>
      </c>
    </row>
    <row r="71" spans="1:17" s="18" customFormat="1" ht="21.75" customHeight="1">
      <c r="A71" s="12" t="s">
        <v>58</v>
      </c>
      <c r="B71" s="10" t="s">
        <v>388</v>
      </c>
      <c r="C71" s="11">
        <v>1973</v>
      </c>
      <c r="D71" s="12" t="s">
        <v>87</v>
      </c>
      <c r="E71" s="11" t="s">
        <v>89</v>
      </c>
      <c r="F71" s="11">
        <v>5</v>
      </c>
      <c r="G71" s="11">
        <v>2</v>
      </c>
      <c r="H71" s="13">
        <v>3231.1</v>
      </c>
      <c r="I71" s="13">
        <v>1875.1</v>
      </c>
      <c r="J71" s="13">
        <v>1705.1</v>
      </c>
      <c r="K71" s="36">
        <v>128</v>
      </c>
      <c r="L71" s="13">
        <f>'Таблица 2, 3 виды ремонта'!C62</f>
        <v>1720596.94</v>
      </c>
      <c r="M71" s="14">
        <v>0</v>
      </c>
      <c r="N71" s="14">
        <v>0</v>
      </c>
      <c r="O71" s="14">
        <v>0</v>
      </c>
      <c r="P71" s="13">
        <f t="shared" si="0"/>
        <v>1720596.94</v>
      </c>
      <c r="Q71" s="15" t="s">
        <v>99</v>
      </c>
    </row>
    <row r="72" spans="1:17" s="18" customFormat="1" ht="21.75" customHeight="1">
      <c r="A72" s="12" t="s">
        <v>59</v>
      </c>
      <c r="B72" s="10" t="s">
        <v>389</v>
      </c>
      <c r="C72" s="11">
        <v>1977</v>
      </c>
      <c r="D72" s="12" t="s">
        <v>87</v>
      </c>
      <c r="E72" s="11" t="s">
        <v>89</v>
      </c>
      <c r="F72" s="11">
        <v>5</v>
      </c>
      <c r="G72" s="11">
        <v>6</v>
      </c>
      <c r="H72" s="13">
        <v>4515.95</v>
      </c>
      <c r="I72" s="13">
        <v>4012.51</v>
      </c>
      <c r="J72" s="13">
        <v>4012.51</v>
      </c>
      <c r="K72" s="36">
        <v>226</v>
      </c>
      <c r="L72" s="13">
        <f>'Таблица 2, 3 виды ремонта'!C63</f>
        <v>541937</v>
      </c>
      <c r="M72" s="14">
        <v>0</v>
      </c>
      <c r="N72" s="14">
        <v>0</v>
      </c>
      <c r="O72" s="14">
        <v>0</v>
      </c>
      <c r="P72" s="13">
        <f t="shared" si="0"/>
        <v>541937</v>
      </c>
      <c r="Q72" s="15" t="s">
        <v>602</v>
      </c>
    </row>
    <row r="73" spans="1:17" s="18" customFormat="1" ht="21.75" customHeight="1">
      <c r="A73" s="12" t="s">
        <v>60</v>
      </c>
      <c r="B73" s="19" t="s">
        <v>390</v>
      </c>
      <c r="C73" s="11">
        <v>1989</v>
      </c>
      <c r="D73" s="12" t="s">
        <v>87</v>
      </c>
      <c r="E73" s="11" t="s">
        <v>88</v>
      </c>
      <c r="F73" s="11">
        <v>9</v>
      </c>
      <c r="G73" s="11">
        <v>2</v>
      </c>
      <c r="H73" s="13">
        <v>4231.9</v>
      </c>
      <c r="I73" s="13">
        <v>4231.9</v>
      </c>
      <c r="J73" s="13">
        <v>3772.9999999999995</v>
      </c>
      <c r="K73" s="36">
        <v>201</v>
      </c>
      <c r="L73" s="13">
        <f>'Таблица 2, 3 виды ремонта'!C64</f>
        <v>3021408.83</v>
      </c>
      <c r="M73" s="14">
        <v>0</v>
      </c>
      <c r="N73" s="14">
        <v>0</v>
      </c>
      <c r="O73" s="14">
        <v>0</v>
      </c>
      <c r="P73" s="13">
        <f t="shared" si="0"/>
        <v>3021408.83</v>
      </c>
      <c r="Q73" s="15" t="s">
        <v>99</v>
      </c>
    </row>
    <row r="74" spans="1:17" s="18" customFormat="1" ht="21.75" customHeight="1">
      <c r="A74" s="12" t="s">
        <v>61</v>
      </c>
      <c r="B74" s="20" t="s">
        <v>391</v>
      </c>
      <c r="C74" s="11">
        <v>1973</v>
      </c>
      <c r="D74" s="12" t="s">
        <v>87</v>
      </c>
      <c r="E74" s="11" t="s">
        <v>88</v>
      </c>
      <c r="F74" s="11">
        <v>5</v>
      </c>
      <c r="G74" s="11">
        <v>4</v>
      </c>
      <c r="H74" s="13">
        <v>3531.94</v>
      </c>
      <c r="I74" s="13">
        <v>2627.98</v>
      </c>
      <c r="J74" s="13">
        <v>2111.81</v>
      </c>
      <c r="K74" s="36">
        <v>145</v>
      </c>
      <c r="L74" s="13">
        <f>'Таблица 2, 3 виды ремонта'!C65</f>
        <v>665551</v>
      </c>
      <c r="M74" s="14">
        <v>0</v>
      </c>
      <c r="N74" s="14">
        <v>0</v>
      </c>
      <c r="O74" s="14">
        <v>0</v>
      </c>
      <c r="P74" s="13">
        <f t="shared" si="0"/>
        <v>665551</v>
      </c>
      <c r="Q74" s="15" t="s">
        <v>602</v>
      </c>
    </row>
    <row r="75" spans="1:17" s="18" customFormat="1" ht="21.75" customHeight="1">
      <c r="A75" s="12" t="s">
        <v>62</v>
      </c>
      <c r="B75" s="10" t="s">
        <v>392</v>
      </c>
      <c r="C75" s="11">
        <v>1976</v>
      </c>
      <c r="D75" s="12" t="s">
        <v>87</v>
      </c>
      <c r="E75" s="11" t="s">
        <v>88</v>
      </c>
      <c r="F75" s="11">
        <v>5</v>
      </c>
      <c r="G75" s="11">
        <v>6</v>
      </c>
      <c r="H75" s="13">
        <v>3988.7</v>
      </c>
      <c r="I75" s="13">
        <v>2733.1</v>
      </c>
      <c r="J75" s="13">
        <v>2733.1</v>
      </c>
      <c r="K75" s="36">
        <v>186</v>
      </c>
      <c r="L75" s="13">
        <f>'Таблица 2, 3 виды ремонта'!C66</f>
        <v>1182287</v>
      </c>
      <c r="M75" s="14">
        <v>0</v>
      </c>
      <c r="N75" s="14">
        <v>0</v>
      </c>
      <c r="O75" s="14">
        <v>0</v>
      </c>
      <c r="P75" s="13">
        <f t="shared" si="0"/>
        <v>1182287</v>
      </c>
      <c r="Q75" s="15" t="s">
        <v>602</v>
      </c>
    </row>
    <row r="76" spans="1:17" s="18" customFormat="1" ht="21.75" customHeight="1">
      <c r="A76" s="12" t="s">
        <v>606</v>
      </c>
      <c r="B76" s="10" t="s">
        <v>393</v>
      </c>
      <c r="C76" s="11">
        <v>1933</v>
      </c>
      <c r="D76" s="12" t="s">
        <v>87</v>
      </c>
      <c r="E76" s="11" t="s">
        <v>89</v>
      </c>
      <c r="F76" s="11">
        <v>4</v>
      </c>
      <c r="G76" s="11">
        <v>5</v>
      </c>
      <c r="H76" s="13">
        <v>4525</v>
      </c>
      <c r="I76" s="13">
        <v>3643.5</v>
      </c>
      <c r="J76" s="13">
        <v>3643.5</v>
      </c>
      <c r="K76" s="36">
        <v>75</v>
      </c>
      <c r="L76" s="13">
        <f>'Таблица 2, 3 виды ремонта'!C67</f>
        <v>903810</v>
      </c>
      <c r="M76" s="14">
        <v>0</v>
      </c>
      <c r="N76" s="14">
        <v>0</v>
      </c>
      <c r="O76" s="14">
        <v>0</v>
      </c>
      <c r="P76" s="13">
        <f t="shared" si="0"/>
        <v>903810</v>
      </c>
      <c r="Q76" s="15" t="s">
        <v>602</v>
      </c>
    </row>
    <row r="77" spans="1:17" s="18" customFormat="1" ht="21.75" customHeight="1">
      <c r="A77" s="12" t="s">
        <v>607</v>
      </c>
      <c r="B77" s="17" t="s">
        <v>345</v>
      </c>
      <c r="C77" s="12">
        <v>1917</v>
      </c>
      <c r="D77" s="12" t="s">
        <v>87</v>
      </c>
      <c r="E77" s="12" t="s">
        <v>100</v>
      </c>
      <c r="F77" s="12">
        <v>2</v>
      </c>
      <c r="G77" s="12">
        <v>2</v>
      </c>
      <c r="H77" s="14">
        <v>947.17</v>
      </c>
      <c r="I77" s="14">
        <v>552.2</v>
      </c>
      <c r="J77" s="14">
        <v>552.2</v>
      </c>
      <c r="K77" s="12">
        <v>46</v>
      </c>
      <c r="L77" s="13">
        <f>'Таблица 2, 3 виды ремонта'!C68</f>
        <v>250000</v>
      </c>
      <c r="M77" s="14">
        <v>0</v>
      </c>
      <c r="N77" s="14">
        <v>0</v>
      </c>
      <c r="O77" s="14">
        <v>0</v>
      </c>
      <c r="P77" s="13">
        <f t="shared" si="0"/>
        <v>250000</v>
      </c>
      <c r="Q77" s="15" t="s">
        <v>602</v>
      </c>
    </row>
    <row r="78" spans="1:17" s="18" customFormat="1" ht="21.75" customHeight="1">
      <c r="A78" s="12" t="s">
        <v>63</v>
      </c>
      <c r="B78" s="17" t="s">
        <v>302</v>
      </c>
      <c r="C78" s="12">
        <v>1917</v>
      </c>
      <c r="D78" s="12" t="s">
        <v>87</v>
      </c>
      <c r="E78" s="12" t="s">
        <v>89</v>
      </c>
      <c r="F78" s="12">
        <v>3</v>
      </c>
      <c r="G78" s="12">
        <v>9</v>
      </c>
      <c r="H78" s="14">
        <v>2353.31</v>
      </c>
      <c r="I78" s="14">
        <v>2240.76</v>
      </c>
      <c r="J78" s="14">
        <v>2038.4600000000003</v>
      </c>
      <c r="K78" s="12">
        <v>97</v>
      </c>
      <c r="L78" s="13">
        <f>'Таблица 2, 3 виды ремонта'!C69</f>
        <v>250000</v>
      </c>
      <c r="M78" s="14">
        <v>0</v>
      </c>
      <c r="N78" s="14">
        <v>0</v>
      </c>
      <c r="O78" s="14">
        <v>0</v>
      </c>
      <c r="P78" s="13">
        <f t="shared" si="0"/>
        <v>250000</v>
      </c>
      <c r="Q78" s="15" t="s">
        <v>602</v>
      </c>
    </row>
    <row r="79" spans="1:17" s="18" customFormat="1" ht="21.75" customHeight="1">
      <c r="A79" s="12" t="s">
        <v>64</v>
      </c>
      <c r="B79" s="10" t="s">
        <v>577</v>
      </c>
      <c r="C79" s="11">
        <v>1968</v>
      </c>
      <c r="D79" s="12" t="s">
        <v>87</v>
      </c>
      <c r="E79" s="11" t="s">
        <v>89</v>
      </c>
      <c r="F79" s="11">
        <v>3</v>
      </c>
      <c r="G79" s="11">
        <v>2</v>
      </c>
      <c r="H79" s="13">
        <v>1252.6</v>
      </c>
      <c r="I79" s="13">
        <v>1164</v>
      </c>
      <c r="J79" s="13">
        <v>488</v>
      </c>
      <c r="K79" s="36">
        <v>77</v>
      </c>
      <c r="L79" s="13">
        <f>'Таблица 2, 3 виды ремонта'!C70</f>
        <v>832000</v>
      </c>
      <c r="M79" s="14">
        <v>0</v>
      </c>
      <c r="N79" s="14">
        <v>0</v>
      </c>
      <c r="O79" s="14">
        <v>0</v>
      </c>
      <c r="P79" s="13">
        <f aca="true" t="shared" si="1" ref="P79:P141">L79</f>
        <v>832000</v>
      </c>
      <c r="Q79" s="15" t="s">
        <v>602</v>
      </c>
    </row>
    <row r="80" spans="1:17" s="18" customFormat="1" ht="21.75" customHeight="1">
      <c r="A80" s="12" t="s">
        <v>65</v>
      </c>
      <c r="B80" s="10" t="s">
        <v>394</v>
      </c>
      <c r="C80" s="11">
        <v>1948</v>
      </c>
      <c r="D80" s="12" t="s">
        <v>87</v>
      </c>
      <c r="E80" s="11" t="s">
        <v>89</v>
      </c>
      <c r="F80" s="11">
        <v>2</v>
      </c>
      <c r="G80" s="11">
        <v>2</v>
      </c>
      <c r="H80" s="13">
        <v>682.2</v>
      </c>
      <c r="I80" s="13">
        <v>433.7</v>
      </c>
      <c r="J80" s="13">
        <v>433.7</v>
      </c>
      <c r="K80" s="36">
        <v>30</v>
      </c>
      <c r="L80" s="13">
        <f>'Таблица 2, 3 виды ремонта'!C71</f>
        <v>962310.06</v>
      </c>
      <c r="M80" s="14">
        <v>0</v>
      </c>
      <c r="N80" s="14">
        <v>0</v>
      </c>
      <c r="O80" s="14">
        <v>0</v>
      </c>
      <c r="P80" s="13">
        <f t="shared" si="1"/>
        <v>962310.06</v>
      </c>
      <c r="Q80" s="15" t="s">
        <v>99</v>
      </c>
    </row>
    <row r="81" spans="1:17" s="18" customFormat="1" ht="21.75" customHeight="1">
      <c r="A81" s="12" t="s">
        <v>66</v>
      </c>
      <c r="B81" s="10" t="s">
        <v>395</v>
      </c>
      <c r="C81" s="11">
        <v>1949</v>
      </c>
      <c r="D81" s="12" t="s">
        <v>87</v>
      </c>
      <c r="E81" s="11" t="s">
        <v>89</v>
      </c>
      <c r="F81" s="11">
        <v>3</v>
      </c>
      <c r="G81" s="11">
        <v>2</v>
      </c>
      <c r="H81" s="13">
        <v>1173.8</v>
      </c>
      <c r="I81" s="13">
        <f>646.2+41</f>
        <v>687.2</v>
      </c>
      <c r="J81" s="13">
        <v>544.5</v>
      </c>
      <c r="K81" s="36">
        <v>42</v>
      </c>
      <c r="L81" s="13">
        <f>'Таблица 2, 3 виды ремонта'!C72</f>
        <v>992899.2</v>
      </c>
      <c r="M81" s="14">
        <v>0</v>
      </c>
      <c r="N81" s="14">
        <v>0</v>
      </c>
      <c r="O81" s="14">
        <v>0</v>
      </c>
      <c r="P81" s="13">
        <f t="shared" si="1"/>
        <v>992899.2</v>
      </c>
      <c r="Q81" s="15" t="s">
        <v>99</v>
      </c>
    </row>
    <row r="82" spans="1:17" s="18" customFormat="1" ht="21.75" customHeight="1">
      <c r="A82" s="12" t="s">
        <v>608</v>
      </c>
      <c r="B82" s="10" t="s">
        <v>396</v>
      </c>
      <c r="C82" s="11">
        <v>1950</v>
      </c>
      <c r="D82" s="12" t="s">
        <v>87</v>
      </c>
      <c r="E82" s="11" t="s">
        <v>89</v>
      </c>
      <c r="F82" s="11">
        <v>3</v>
      </c>
      <c r="G82" s="11">
        <v>2</v>
      </c>
      <c r="H82" s="13">
        <v>1092.3</v>
      </c>
      <c r="I82" s="13">
        <v>717.2</v>
      </c>
      <c r="J82" s="13">
        <v>520.02</v>
      </c>
      <c r="K82" s="36">
        <v>47</v>
      </c>
      <c r="L82" s="13">
        <f>'Таблица 2, 3 виды ремонта'!C73</f>
        <v>1050366.38</v>
      </c>
      <c r="M82" s="14">
        <v>0</v>
      </c>
      <c r="N82" s="14">
        <v>0</v>
      </c>
      <c r="O82" s="14">
        <v>0</v>
      </c>
      <c r="P82" s="13">
        <f t="shared" si="1"/>
        <v>1050366.38</v>
      </c>
      <c r="Q82" s="15" t="s">
        <v>99</v>
      </c>
    </row>
    <row r="83" spans="1:17" s="18" customFormat="1" ht="21.75" customHeight="1">
      <c r="A83" s="12" t="s">
        <v>587</v>
      </c>
      <c r="B83" s="10" t="s">
        <v>397</v>
      </c>
      <c r="C83" s="11">
        <v>1917</v>
      </c>
      <c r="D83" s="12" t="s">
        <v>87</v>
      </c>
      <c r="E83" s="11" t="s">
        <v>89</v>
      </c>
      <c r="F83" s="11">
        <v>3</v>
      </c>
      <c r="G83" s="11">
        <v>2</v>
      </c>
      <c r="H83" s="13">
        <v>1077.2</v>
      </c>
      <c r="I83" s="13">
        <v>704.8</v>
      </c>
      <c r="J83" s="13">
        <v>638.2199999999999</v>
      </c>
      <c r="K83" s="36">
        <v>35</v>
      </c>
      <c r="L83" s="13">
        <f>'Таблица 2, 3 виды ремонта'!C74</f>
        <v>1046831.1</v>
      </c>
      <c r="M83" s="14">
        <v>0</v>
      </c>
      <c r="N83" s="14">
        <v>0</v>
      </c>
      <c r="O83" s="14">
        <v>0</v>
      </c>
      <c r="P83" s="13">
        <f t="shared" si="1"/>
        <v>1046831.1</v>
      </c>
      <c r="Q83" s="15" t="s">
        <v>99</v>
      </c>
    </row>
    <row r="84" spans="1:17" s="18" customFormat="1" ht="21.75" customHeight="1">
      <c r="A84" s="12" t="s">
        <v>67</v>
      </c>
      <c r="B84" s="10" t="s">
        <v>398</v>
      </c>
      <c r="C84" s="11">
        <v>1978</v>
      </c>
      <c r="D84" s="12" t="s">
        <v>87</v>
      </c>
      <c r="E84" s="11" t="s">
        <v>89</v>
      </c>
      <c r="F84" s="11">
        <v>4</v>
      </c>
      <c r="G84" s="11">
        <v>3</v>
      </c>
      <c r="H84" s="13">
        <v>4639.4</v>
      </c>
      <c r="I84" s="13">
        <f>3129.6+531.1</f>
        <v>3660.7</v>
      </c>
      <c r="J84" s="13">
        <v>2925.9</v>
      </c>
      <c r="K84" s="36">
        <v>105</v>
      </c>
      <c r="L84" s="13">
        <f>'Таблица 2, 3 виды ремонта'!C75</f>
        <v>1946332.12</v>
      </c>
      <c r="M84" s="14">
        <v>0</v>
      </c>
      <c r="N84" s="14">
        <v>0</v>
      </c>
      <c r="O84" s="14">
        <v>0</v>
      </c>
      <c r="P84" s="13">
        <f t="shared" si="1"/>
        <v>1946332.12</v>
      </c>
      <c r="Q84" s="15" t="s">
        <v>99</v>
      </c>
    </row>
    <row r="85" spans="1:17" s="18" customFormat="1" ht="21.75" customHeight="1">
      <c r="A85" s="12" t="s">
        <v>68</v>
      </c>
      <c r="B85" s="10" t="s">
        <v>399</v>
      </c>
      <c r="C85" s="11">
        <v>1960</v>
      </c>
      <c r="D85" s="12" t="s">
        <v>87</v>
      </c>
      <c r="E85" s="11" t="s">
        <v>89</v>
      </c>
      <c r="F85" s="11">
        <v>5</v>
      </c>
      <c r="G85" s="11">
        <v>2</v>
      </c>
      <c r="H85" s="13">
        <v>1598.7</v>
      </c>
      <c r="I85" s="13">
        <f>1093.4+368.3</f>
        <v>1461.7</v>
      </c>
      <c r="J85" s="13">
        <v>1048.47</v>
      </c>
      <c r="K85" s="36">
        <v>40</v>
      </c>
      <c r="L85" s="13">
        <f>'Таблица 2, 3 виды ремонта'!C76</f>
        <v>935262.1</v>
      </c>
      <c r="M85" s="14">
        <v>0</v>
      </c>
      <c r="N85" s="14">
        <v>0</v>
      </c>
      <c r="O85" s="14">
        <v>0</v>
      </c>
      <c r="P85" s="13">
        <f t="shared" si="1"/>
        <v>935262.1</v>
      </c>
      <c r="Q85" s="15" t="s">
        <v>99</v>
      </c>
    </row>
    <row r="86" spans="1:17" s="18" customFormat="1" ht="21.75" customHeight="1">
      <c r="A86" s="12" t="s">
        <v>69</v>
      </c>
      <c r="B86" s="10" t="s">
        <v>400</v>
      </c>
      <c r="C86" s="11">
        <v>1948</v>
      </c>
      <c r="D86" s="12" t="s">
        <v>87</v>
      </c>
      <c r="E86" s="11" t="s">
        <v>89</v>
      </c>
      <c r="F86" s="11">
        <v>2</v>
      </c>
      <c r="G86" s="11">
        <v>1</v>
      </c>
      <c r="H86" s="13">
        <v>856.11</v>
      </c>
      <c r="I86" s="13">
        <v>856.11</v>
      </c>
      <c r="J86" s="13">
        <v>715.11</v>
      </c>
      <c r="K86" s="36">
        <v>47</v>
      </c>
      <c r="L86" s="13">
        <f>'Таблица 2, 3 виды ремонта'!C77</f>
        <v>1065693.4</v>
      </c>
      <c r="M86" s="14">
        <v>0</v>
      </c>
      <c r="N86" s="14">
        <v>0</v>
      </c>
      <c r="O86" s="14">
        <v>0</v>
      </c>
      <c r="P86" s="13">
        <f t="shared" si="1"/>
        <v>1065693.4</v>
      </c>
      <c r="Q86" s="15" t="s">
        <v>99</v>
      </c>
    </row>
    <row r="87" spans="1:17" s="18" customFormat="1" ht="21.75" customHeight="1">
      <c r="A87" s="12" t="s">
        <v>70</v>
      </c>
      <c r="B87" s="10" t="s">
        <v>401</v>
      </c>
      <c r="C87" s="11">
        <v>1950</v>
      </c>
      <c r="D87" s="12" t="s">
        <v>87</v>
      </c>
      <c r="E87" s="11" t="s">
        <v>89</v>
      </c>
      <c r="F87" s="11">
        <v>3</v>
      </c>
      <c r="G87" s="11">
        <v>2</v>
      </c>
      <c r="H87" s="13">
        <v>1268.49</v>
      </c>
      <c r="I87" s="13">
        <v>1268.49</v>
      </c>
      <c r="J87" s="13">
        <v>1132.42</v>
      </c>
      <c r="K87" s="36">
        <v>63</v>
      </c>
      <c r="L87" s="13">
        <f>'Таблица 2, 3 виды ремонта'!C78</f>
        <v>738089</v>
      </c>
      <c r="M87" s="14">
        <v>0</v>
      </c>
      <c r="N87" s="14">
        <v>0</v>
      </c>
      <c r="O87" s="14">
        <v>0</v>
      </c>
      <c r="P87" s="13">
        <f t="shared" si="1"/>
        <v>738089</v>
      </c>
      <c r="Q87" s="15" t="s">
        <v>99</v>
      </c>
    </row>
    <row r="88" spans="1:17" s="18" customFormat="1" ht="21.75" customHeight="1">
      <c r="A88" s="12" t="s">
        <v>71</v>
      </c>
      <c r="B88" s="10" t="s">
        <v>402</v>
      </c>
      <c r="C88" s="11">
        <v>1952</v>
      </c>
      <c r="D88" s="12" t="s">
        <v>87</v>
      </c>
      <c r="E88" s="11" t="s">
        <v>89</v>
      </c>
      <c r="F88" s="11">
        <v>3</v>
      </c>
      <c r="G88" s="11">
        <v>2</v>
      </c>
      <c r="H88" s="13">
        <v>1384.34</v>
      </c>
      <c r="I88" s="13">
        <v>1384.34</v>
      </c>
      <c r="J88" s="13">
        <v>1175.6299999999999</v>
      </c>
      <c r="K88" s="36">
        <v>67</v>
      </c>
      <c r="L88" s="13">
        <f>'Таблица 2, 3 виды ремонта'!C79</f>
        <v>737426</v>
      </c>
      <c r="M88" s="14">
        <v>0</v>
      </c>
      <c r="N88" s="14">
        <v>0</v>
      </c>
      <c r="O88" s="14">
        <v>0</v>
      </c>
      <c r="P88" s="13">
        <f t="shared" si="1"/>
        <v>737426</v>
      </c>
      <c r="Q88" s="15" t="s">
        <v>99</v>
      </c>
    </row>
    <row r="89" spans="1:17" s="18" customFormat="1" ht="21.75" customHeight="1">
      <c r="A89" s="12" t="s">
        <v>72</v>
      </c>
      <c r="B89" s="19" t="s">
        <v>403</v>
      </c>
      <c r="C89" s="11">
        <v>1963</v>
      </c>
      <c r="D89" s="12" t="s">
        <v>87</v>
      </c>
      <c r="E89" s="11" t="s">
        <v>89</v>
      </c>
      <c r="F89" s="11">
        <v>5</v>
      </c>
      <c r="G89" s="11">
        <v>8</v>
      </c>
      <c r="H89" s="13">
        <v>6926.1</v>
      </c>
      <c r="I89" s="13">
        <f>6728.1+198</f>
        <v>6926.1</v>
      </c>
      <c r="J89" s="13">
        <v>6156.5</v>
      </c>
      <c r="K89" s="36">
        <v>283</v>
      </c>
      <c r="L89" s="13">
        <f>'Таблица 2, 3 виды ремонта'!C80</f>
        <v>3120456.69</v>
      </c>
      <c r="M89" s="14">
        <v>0</v>
      </c>
      <c r="N89" s="14">
        <v>0</v>
      </c>
      <c r="O89" s="14">
        <v>0</v>
      </c>
      <c r="P89" s="13">
        <f t="shared" si="1"/>
        <v>3120456.69</v>
      </c>
      <c r="Q89" s="15" t="s">
        <v>602</v>
      </c>
    </row>
    <row r="90" spans="1:17" s="18" customFormat="1" ht="21" customHeight="1">
      <c r="A90" s="12" t="s">
        <v>73</v>
      </c>
      <c r="B90" s="10" t="s">
        <v>404</v>
      </c>
      <c r="C90" s="11">
        <v>1959</v>
      </c>
      <c r="D90" s="12" t="s">
        <v>87</v>
      </c>
      <c r="E90" s="11" t="s">
        <v>89</v>
      </c>
      <c r="F90" s="11">
        <v>4</v>
      </c>
      <c r="G90" s="11">
        <v>3</v>
      </c>
      <c r="H90" s="13">
        <v>2596.5</v>
      </c>
      <c r="I90" s="13">
        <f>1321.7+130.6</f>
        <v>1452.3</v>
      </c>
      <c r="J90" s="13">
        <v>1052.85</v>
      </c>
      <c r="K90" s="36">
        <v>101</v>
      </c>
      <c r="L90" s="13">
        <f>'Таблица 2, 3 виды ремонта'!C81</f>
        <v>74459</v>
      </c>
      <c r="M90" s="14">
        <v>0</v>
      </c>
      <c r="N90" s="14">
        <v>0</v>
      </c>
      <c r="O90" s="14">
        <v>0</v>
      </c>
      <c r="P90" s="13">
        <f t="shared" si="1"/>
        <v>74459</v>
      </c>
      <c r="Q90" s="15" t="s">
        <v>99</v>
      </c>
    </row>
    <row r="91" spans="1:17" s="18" customFormat="1" ht="21" customHeight="1">
      <c r="A91" s="12" t="s">
        <v>74</v>
      </c>
      <c r="B91" s="10" t="s">
        <v>405</v>
      </c>
      <c r="C91" s="11">
        <v>1958</v>
      </c>
      <c r="D91" s="12" t="s">
        <v>87</v>
      </c>
      <c r="E91" s="11" t="s">
        <v>89</v>
      </c>
      <c r="F91" s="11">
        <v>4</v>
      </c>
      <c r="G91" s="11">
        <v>2</v>
      </c>
      <c r="H91" s="13">
        <v>1850.1</v>
      </c>
      <c r="I91" s="13">
        <f>941.2+71.5</f>
        <v>1012.7</v>
      </c>
      <c r="J91" s="13">
        <v>811.6</v>
      </c>
      <c r="K91" s="36">
        <v>60</v>
      </c>
      <c r="L91" s="13">
        <f>'Таблица 2, 3 виды ремонта'!C82</f>
        <v>1051276.16</v>
      </c>
      <c r="M91" s="14">
        <v>0</v>
      </c>
      <c r="N91" s="14">
        <v>0</v>
      </c>
      <c r="O91" s="14">
        <v>0</v>
      </c>
      <c r="P91" s="13">
        <f t="shared" si="1"/>
        <v>1051276.16</v>
      </c>
      <c r="Q91" s="15" t="s">
        <v>602</v>
      </c>
    </row>
    <row r="92" spans="1:17" s="18" customFormat="1" ht="21" customHeight="1">
      <c r="A92" s="12" t="s">
        <v>588</v>
      </c>
      <c r="B92" s="10" t="s">
        <v>406</v>
      </c>
      <c r="C92" s="11">
        <v>1958</v>
      </c>
      <c r="D92" s="12" t="s">
        <v>87</v>
      </c>
      <c r="E92" s="11" t="s">
        <v>89</v>
      </c>
      <c r="F92" s="11">
        <v>4</v>
      </c>
      <c r="G92" s="11">
        <v>2</v>
      </c>
      <c r="H92" s="13">
        <v>2595.97</v>
      </c>
      <c r="I92" s="13">
        <v>1339.97</v>
      </c>
      <c r="J92" s="13">
        <v>1228.05</v>
      </c>
      <c r="K92" s="36">
        <v>72</v>
      </c>
      <c r="L92" s="13">
        <f>'Таблица 2, 3 виды ремонта'!C83</f>
        <v>77874.1</v>
      </c>
      <c r="M92" s="14">
        <v>0</v>
      </c>
      <c r="N92" s="14">
        <v>0</v>
      </c>
      <c r="O92" s="14">
        <v>0</v>
      </c>
      <c r="P92" s="13">
        <f t="shared" si="1"/>
        <v>77874.1</v>
      </c>
      <c r="Q92" s="15" t="s">
        <v>99</v>
      </c>
    </row>
    <row r="93" spans="1:17" s="18" customFormat="1" ht="21" customHeight="1">
      <c r="A93" s="12" t="s">
        <v>609</v>
      </c>
      <c r="B93" s="10" t="s">
        <v>407</v>
      </c>
      <c r="C93" s="11">
        <v>1960</v>
      </c>
      <c r="D93" s="12" t="s">
        <v>87</v>
      </c>
      <c r="E93" s="11" t="s">
        <v>89</v>
      </c>
      <c r="F93" s="11">
        <v>3</v>
      </c>
      <c r="G93" s="11">
        <v>3</v>
      </c>
      <c r="H93" s="13">
        <v>2190</v>
      </c>
      <c r="I93" s="13">
        <f>1592.4+231.4</f>
        <v>1823.8000000000002</v>
      </c>
      <c r="J93" s="13">
        <v>1230.6000000000001</v>
      </c>
      <c r="K93" s="36">
        <v>86</v>
      </c>
      <c r="L93" s="13">
        <f>'Таблица 2, 3 виды ремонта'!C84</f>
        <v>1217646.04</v>
      </c>
      <c r="M93" s="14">
        <v>0</v>
      </c>
      <c r="N93" s="14">
        <v>0</v>
      </c>
      <c r="O93" s="14">
        <v>0</v>
      </c>
      <c r="P93" s="13">
        <f t="shared" si="1"/>
        <v>1217646.04</v>
      </c>
      <c r="Q93" s="15" t="s">
        <v>99</v>
      </c>
    </row>
    <row r="94" spans="1:17" s="18" customFormat="1" ht="21" customHeight="1">
      <c r="A94" s="12" t="s">
        <v>75</v>
      </c>
      <c r="B94" s="10" t="s">
        <v>408</v>
      </c>
      <c r="C94" s="11">
        <v>1972</v>
      </c>
      <c r="D94" s="12" t="s">
        <v>87</v>
      </c>
      <c r="E94" s="11" t="s">
        <v>89</v>
      </c>
      <c r="F94" s="11">
        <v>9</v>
      </c>
      <c r="G94" s="11">
        <v>3</v>
      </c>
      <c r="H94" s="13">
        <v>6026.3</v>
      </c>
      <c r="I94" s="13">
        <v>6026.3</v>
      </c>
      <c r="J94" s="13">
        <v>5578.7</v>
      </c>
      <c r="K94" s="36">
        <v>257</v>
      </c>
      <c r="L94" s="13">
        <f>'Таблица 2, 3 виды ремонта'!C85</f>
        <v>4137375.74</v>
      </c>
      <c r="M94" s="14">
        <v>0</v>
      </c>
      <c r="N94" s="14">
        <v>0</v>
      </c>
      <c r="O94" s="14">
        <v>0</v>
      </c>
      <c r="P94" s="13">
        <f t="shared" si="1"/>
        <v>4137375.74</v>
      </c>
      <c r="Q94" s="15" t="s">
        <v>602</v>
      </c>
    </row>
    <row r="95" spans="1:17" s="18" customFormat="1" ht="21" customHeight="1">
      <c r="A95" s="12" t="s">
        <v>76</v>
      </c>
      <c r="B95" s="10" t="s">
        <v>409</v>
      </c>
      <c r="C95" s="11">
        <v>1975</v>
      </c>
      <c r="D95" s="12" t="s">
        <v>87</v>
      </c>
      <c r="E95" s="11" t="s">
        <v>89</v>
      </c>
      <c r="F95" s="11">
        <v>5</v>
      </c>
      <c r="G95" s="11">
        <v>4</v>
      </c>
      <c r="H95" s="13">
        <v>4368.1</v>
      </c>
      <c r="I95" s="13">
        <v>3340.2</v>
      </c>
      <c r="J95" s="13">
        <v>2563.5</v>
      </c>
      <c r="K95" s="36">
        <v>171</v>
      </c>
      <c r="L95" s="13">
        <f>'Таблица 2, 3 виды ремонта'!C86</f>
        <v>387038</v>
      </c>
      <c r="M95" s="14">
        <v>0</v>
      </c>
      <c r="N95" s="14">
        <v>0</v>
      </c>
      <c r="O95" s="14">
        <v>0</v>
      </c>
      <c r="P95" s="13">
        <f t="shared" si="1"/>
        <v>387038</v>
      </c>
      <c r="Q95" s="15" t="s">
        <v>602</v>
      </c>
    </row>
    <row r="96" spans="1:17" s="18" customFormat="1" ht="21" customHeight="1">
      <c r="A96" s="12" t="s">
        <v>77</v>
      </c>
      <c r="B96" s="10" t="s">
        <v>410</v>
      </c>
      <c r="C96" s="11">
        <v>1972</v>
      </c>
      <c r="D96" s="12" t="s">
        <v>87</v>
      </c>
      <c r="E96" s="11" t="s">
        <v>89</v>
      </c>
      <c r="F96" s="11">
        <v>5</v>
      </c>
      <c r="G96" s="11">
        <v>4</v>
      </c>
      <c r="H96" s="13">
        <v>4302.2</v>
      </c>
      <c r="I96" s="13">
        <v>4302.2</v>
      </c>
      <c r="J96" s="13">
        <v>2904</v>
      </c>
      <c r="K96" s="36">
        <v>180</v>
      </c>
      <c r="L96" s="13">
        <f>'Таблица 2, 3 виды ремонта'!C87</f>
        <v>273229</v>
      </c>
      <c r="M96" s="14">
        <v>0</v>
      </c>
      <c r="N96" s="14">
        <v>0</v>
      </c>
      <c r="O96" s="14">
        <v>0</v>
      </c>
      <c r="P96" s="13">
        <f t="shared" si="1"/>
        <v>273229</v>
      </c>
      <c r="Q96" s="15" t="s">
        <v>602</v>
      </c>
    </row>
    <row r="97" spans="1:17" s="18" customFormat="1" ht="21" customHeight="1">
      <c r="A97" s="12" t="s">
        <v>78</v>
      </c>
      <c r="B97" s="10" t="s">
        <v>411</v>
      </c>
      <c r="C97" s="11">
        <v>1964</v>
      </c>
      <c r="D97" s="12" t="s">
        <v>87</v>
      </c>
      <c r="E97" s="11" t="s">
        <v>89</v>
      </c>
      <c r="F97" s="11">
        <v>3</v>
      </c>
      <c r="G97" s="11">
        <v>2</v>
      </c>
      <c r="H97" s="13">
        <v>1324.1</v>
      </c>
      <c r="I97" s="13">
        <v>1086.3</v>
      </c>
      <c r="J97" s="13">
        <v>775.15</v>
      </c>
      <c r="K97" s="36">
        <v>51</v>
      </c>
      <c r="L97" s="13">
        <f>'Таблица 2, 3 виды ремонта'!C88</f>
        <v>756724.2999999999</v>
      </c>
      <c r="M97" s="14">
        <v>0</v>
      </c>
      <c r="N97" s="14">
        <v>0</v>
      </c>
      <c r="O97" s="14">
        <v>0</v>
      </c>
      <c r="P97" s="13">
        <f t="shared" si="1"/>
        <v>756724.2999999999</v>
      </c>
      <c r="Q97" s="15" t="s">
        <v>602</v>
      </c>
    </row>
    <row r="98" spans="1:17" s="18" customFormat="1" ht="21" customHeight="1">
      <c r="A98" s="12" t="s">
        <v>79</v>
      </c>
      <c r="B98" s="10" t="s">
        <v>412</v>
      </c>
      <c r="C98" s="11">
        <v>1965</v>
      </c>
      <c r="D98" s="12" t="s">
        <v>87</v>
      </c>
      <c r="E98" s="11" t="s">
        <v>88</v>
      </c>
      <c r="F98" s="11">
        <v>5</v>
      </c>
      <c r="G98" s="11">
        <v>4</v>
      </c>
      <c r="H98" s="13">
        <v>4503.11</v>
      </c>
      <c r="I98" s="13">
        <v>3519.2</v>
      </c>
      <c r="J98" s="13">
        <v>3159.4799999999996</v>
      </c>
      <c r="K98" s="36">
        <v>189</v>
      </c>
      <c r="L98" s="13">
        <f>'Таблица 2, 3 виды ремонта'!C89</f>
        <v>1789634</v>
      </c>
      <c r="M98" s="14">
        <v>0</v>
      </c>
      <c r="N98" s="14">
        <v>0</v>
      </c>
      <c r="O98" s="14">
        <v>0</v>
      </c>
      <c r="P98" s="13">
        <f t="shared" si="1"/>
        <v>1789634</v>
      </c>
      <c r="Q98" s="15" t="s">
        <v>602</v>
      </c>
    </row>
    <row r="99" spans="1:17" s="18" customFormat="1" ht="21" customHeight="1">
      <c r="A99" s="12" t="s">
        <v>80</v>
      </c>
      <c r="B99" s="10" t="s">
        <v>413</v>
      </c>
      <c r="C99" s="11" t="s">
        <v>296</v>
      </c>
      <c r="D99" s="12" t="s">
        <v>87</v>
      </c>
      <c r="E99" s="11" t="s">
        <v>89</v>
      </c>
      <c r="F99" s="11">
        <v>3</v>
      </c>
      <c r="G99" s="11">
        <v>5</v>
      </c>
      <c r="H99" s="13">
        <v>3527</v>
      </c>
      <c r="I99" s="13">
        <v>1161.62</v>
      </c>
      <c r="J99" s="13">
        <v>882.92</v>
      </c>
      <c r="K99" s="36">
        <v>55</v>
      </c>
      <c r="L99" s="13">
        <f>'Таблица 2, 3 виды ремонта'!C90</f>
        <v>1402453.83</v>
      </c>
      <c r="M99" s="14">
        <v>0</v>
      </c>
      <c r="N99" s="14">
        <v>0</v>
      </c>
      <c r="O99" s="14">
        <v>0</v>
      </c>
      <c r="P99" s="13">
        <f t="shared" si="1"/>
        <v>1402453.83</v>
      </c>
      <c r="Q99" s="15" t="s">
        <v>602</v>
      </c>
    </row>
    <row r="100" spans="1:17" s="18" customFormat="1" ht="21" customHeight="1">
      <c r="A100" s="12" t="s">
        <v>81</v>
      </c>
      <c r="B100" s="10" t="s">
        <v>414</v>
      </c>
      <c r="C100" s="11">
        <v>1933</v>
      </c>
      <c r="D100" s="12" t="s">
        <v>87</v>
      </c>
      <c r="E100" s="11" t="s">
        <v>89</v>
      </c>
      <c r="F100" s="11">
        <v>4</v>
      </c>
      <c r="G100" s="11">
        <v>6</v>
      </c>
      <c r="H100" s="13">
        <v>3464.5</v>
      </c>
      <c r="I100" s="13">
        <f>2323.3+846.4</f>
        <v>3169.7000000000003</v>
      </c>
      <c r="J100" s="13">
        <v>2265.2000000000003</v>
      </c>
      <c r="K100" s="36">
        <v>108</v>
      </c>
      <c r="L100" s="13">
        <f>'Таблица 2, 3 виды ремонта'!C91</f>
        <v>1534107.78</v>
      </c>
      <c r="M100" s="14">
        <v>0</v>
      </c>
      <c r="N100" s="14">
        <v>0</v>
      </c>
      <c r="O100" s="14">
        <v>0</v>
      </c>
      <c r="P100" s="13">
        <f t="shared" si="1"/>
        <v>1534107.78</v>
      </c>
      <c r="Q100" s="15" t="s">
        <v>602</v>
      </c>
    </row>
    <row r="101" spans="1:17" s="18" customFormat="1" ht="21" customHeight="1">
      <c r="A101" s="12" t="s">
        <v>82</v>
      </c>
      <c r="B101" s="10" t="s">
        <v>415</v>
      </c>
      <c r="C101" s="11">
        <v>1987</v>
      </c>
      <c r="D101" s="12" t="s">
        <v>87</v>
      </c>
      <c r="E101" s="11" t="s">
        <v>89</v>
      </c>
      <c r="F101" s="11">
        <v>5</v>
      </c>
      <c r="G101" s="11">
        <v>5</v>
      </c>
      <c r="H101" s="13">
        <v>3186.3</v>
      </c>
      <c r="I101" s="13">
        <v>2886.3</v>
      </c>
      <c r="J101" s="13">
        <v>2811.73</v>
      </c>
      <c r="K101" s="36">
        <v>135</v>
      </c>
      <c r="L101" s="13">
        <f>'Таблица 2, 3 виды ремонта'!C92</f>
        <v>557848.26</v>
      </c>
      <c r="M101" s="14">
        <v>0</v>
      </c>
      <c r="N101" s="14">
        <v>0</v>
      </c>
      <c r="O101" s="14">
        <v>0</v>
      </c>
      <c r="P101" s="13">
        <v>557848.26</v>
      </c>
      <c r="Q101" s="15" t="s">
        <v>602</v>
      </c>
    </row>
    <row r="102" spans="1:17" s="18" customFormat="1" ht="21" customHeight="1">
      <c r="A102" s="12" t="s">
        <v>83</v>
      </c>
      <c r="B102" s="10" t="s">
        <v>416</v>
      </c>
      <c r="C102" s="11">
        <v>1960</v>
      </c>
      <c r="D102" s="12" t="s">
        <v>87</v>
      </c>
      <c r="E102" s="11" t="s">
        <v>89</v>
      </c>
      <c r="F102" s="11">
        <v>2</v>
      </c>
      <c r="G102" s="11">
        <v>2</v>
      </c>
      <c r="H102" s="13">
        <v>673.2</v>
      </c>
      <c r="I102" s="13">
        <v>627.1</v>
      </c>
      <c r="J102" s="13">
        <v>443.8</v>
      </c>
      <c r="K102" s="36">
        <v>30</v>
      </c>
      <c r="L102" s="13">
        <f>'Таблица 2, 3 виды ремонта'!C93</f>
        <v>820349</v>
      </c>
      <c r="M102" s="14">
        <v>0</v>
      </c>
      <c r="N102" s="14">
        <v>0</v>
      </c>
      <c r="O102" s="14">
        <v>0</v>
      </c>
      <c r="P102" s="13">
        <f t="shared" si="1"/>
        <v>820349</v>
      </c>
      <c r="Q102" s="15" t="s">
        <v>602</v>
      </c>
    </row>
    <row r="103" spans="1:17" s="18" customFormat="1" ht="21" customHeight="1">
      <c r="A103" s="12" t="s">
        <v>84</v>
      </c>
      <c r="B103" s="10" t="s">
        <v>603</v>
      </c>
      <c r="C103" s="11">
        <v>1962</v>
      </c>
      <c r="D103" s="12" t="s">
        <v>87</v>
      </c>
      <c r="E103" s="11" t="s">
        <v>89</v>
      </c>
      <c r="F103" s="11">
        <v>6</v>
      </c>
      <c r="G103" s="11">
        <v>6</v>
      </c>
      <c r="H103" s="13">
        <v>6243.32</v>
      </c>
      <c r="I103" s="13">
        <f>5788.32+455</f>
        <v>6243.32</v>
      </c>
      <c r="J103" s="13">
        <v>5788.32</v>
      </c>
      <c r="K103" s="36">
        <v>281</v>
      </c>
      <c r="L103" s="13">
        <f>'Таблица 2, 3 виды ремонта'!C94</f>
        <v>141439</v>
      </c>
      <c r="M103" s="14">
        <v>0</v>
      </c>
      <c r="N103" s="14">
        <v>0</v>
      </c>
      <c r="O103" s="14">
        <v>0</v>
      </c>
      <c r="P103" s="13">
        <f t="shared" si="1"/>
        <v>141439</v>
      </c>
      <c r="Q103" s="15" t="s">
        <v>99</v>
      </c>
    </row>
    <row r="104" spans="1:17" s="18" customFormat="1" ht="21" customHeight="1">
      <c r="A104" s="12" t="s">
        <v>85</v>
      </c>
      <c r="B104" s="10" t="s">
        <v>417</v>
      </c>
      <c r="C104" s="11">
        <v>1992</v>
      </c>
      <c r="D104" s="12" t="s">
        <v>87</v>
      </c>
      <c r="E104" s="11" t="s">
        <v>89</v>
      </c>
      <c r="F104" s="11">
        <v>10</v>
      </c>
      <c r="G104" s="11">
        <v>2</v>
      </c>
      <c r="H104" s="13">
        <v>6354.74</v>
      </c>
      <c r="I104" s="13">
        <f>6141.14+213.6</f>
        <v>6354.740000000001</v>
      </c>
      <c r="J104" s="13">
        <v>6141.14</v>
      </c>
      <c r="K104" s="36">
        <v>217</v>
      </c>
      <c r="L104" s="13">
        <f>'Таблица 2, 3 виды ремонта'!C95</f>
        <v>676714</v>
      </c>
      <c r="M104" s="14">
        <v>0</v>
      </c>
      <c r="N104" s="14">
        <v>0</v>
      </c>
      <c r="O104" s="14">
        <v>0</v>
      </c>
      <c r="P104" s="13">
        <f t="shared" si="1"/>
        <v>676714</v>
      </c>
      <c r="Q104" s="15" t="s">
        <v>602</v>
      </c>
    </row>
    <row r="105" spans="1:17" s="18" customFormat="1" ht="21" customHeight="1">
      <c r="A105" s="12" t="s">
        <v>86</v>
      </c>
      <c r="B105" s="10" t="s">
        <v>418</v>
      </c>
      <c r="C105" s="11">
        <v>1967</v>
      </c>
      <c r="D105" s="12" t="s">
        <v>87</v>
      </c>
      <c r="E105" s="11" t="s">
        <v>89</v>
      </c>
      <c r="F105" s="11">
        <v>5</v>
      </c>
      <c r="G105" s="11">
        <v>6</v>
      </c>
      <c r="H105" s="13">
        <v>4913.36</v>
      </c>
      <c r="I105" s="13">
        <f>4578.36+186.54</f>
        <v>4764.9</v>
      </c>
      <c r="J105" s="13">
        <v>4578.36</v>
      </c>
      <c r="K105" s="36">
        <v>190</v>
      </c>
      <c r="L105" s="13">
        <f>'Таблица 2, 3 виды ремонта'!C96</f>
        <v>2347533</v>
      </c>
      <c r="M105" s="14">
        <v>0</v>
      </c>
      <c r="N105" s="14">
        <v>0</v>
      </c>
      <c r="O105" s="14">
        <v>0</v>
      </c>
      <c r="P105" s="13">
        <f t="shared" si="1"/>
        <v>2347533</v>
      </c>
      <c r="Q105" s="15" t="s">
        <v>602</v>
      </c>
    </row>
    <row r="106" spans="1:17" s="18" customFormat="1" ht="21" customHeight="1">
      <c r="A106" s="12" t="s">
        <v>101</v>
      </c>
      <c r="B106" s="19" t="s">
        <v>419</v>
      </c>
      <c r="C106" s="11">
        <v>1958</v>
      </c>
      <c r="D106" s="12" t="s">
        <v>87</v>
      </c>
      <c r="E106" s="11" t="s">
        <v>89</v>
      </c>
      <c r="F106" s="11">
        <v>5</v>
      </c>
      <c r="G106" s="11">
        <v>3</v>
      </c>
      <c r="H106" s="13">
        <v>2539.3</v>
      </c>
      <c r="I106" s="13">
        <v>2539.3</v>
      </c>
      <c r="J106" s="13">
        <v>2539.3</v>
      </c>
      <c r="K106" s="36">
        <v>72</v>
      </c>
      <c r="L106" s="13">
        <f>'Таблица 2, 3 виды ремонта'!C97</f>
        <v>1091748</v>
      </c>
      <c r="M106" s="14">
        <v>0</v>
      </c>
      <c r="N106" s="14">
        <v>0</v>
      </c>
      <c r="O106" s="14">
        <v>0</v>
      </c>
      <c r="P106" s="13">
        <f t="shared" si="1"/>
        <v>1091748</v>
      </c>
      <c r="Q106" s="15" t="s">
        <v>602</v>
      </c>
    </row>
    <row r="107" spans="1:17" s="18" customFormat="1" ht="21" customHeight="1">
      <c r="A107" s="12" t="s">
        <v>102</v>
      </c>
      <c r="B107" s="10" t="s">
        <v>420</v>
      </c>
      <c r="C107" s="11">
        <v>1967</v>
      </c>
      <c r="D107" s="12" t="s">
        <v>87</v>
      </c>
      <c r="E107" s="11" t="s">
        <v>89</v>
      </c>
      <c r="F107" s="11">
        <v>5</v>
      </c>
      <c r="G107" s="11">
        <v>4</v>
      </c>
      <c r="H107" s="13">
        <v>3659.4</v>
      </c>
      <c r="I107" s="13">
        <v>3401</v>
      </c>
      <c r="J107" s="13">
        <v>3401</v>
      </c>
      <c r="K107" s="36">
        <v>114</v>
      </c>
      <c r="L107" s="13">
        <f>'Таблица 2, 3 виды ремонта'!C98</f>
        <v>450003</v>
      </c>
      <c r="M107" s="14">
        <v>0</v>
      </c>
      <c r="N107" s="14">
        <v>0</v>
      </c>
      <c r="O107" s="14">
        <v>0</v>
      </c>
      <c r="P107" s="13">
        <f t="shared" si="1"/>
        <v>450003</v>
      </c>
      <c r="Q107" s="15" t="s">
        <v>99</v>
      </c>
    </row>
    <row r="108" spans="1:17" s="18" customFormat="1" ht="21" customHeight="1">
      <c r="A108" s="12" t="s">
        <v>103</v>
      </c>
      <c r="B108" s="10" t="s">
        <v>421</v>
      </c>
      <c r="C108" s="11">
        <v>1974</v>
      </c>
      <c r="D108" s="12" t="s">
        <v>87</v>
      </c>
      <c r="E108" s="11" t="s">
        <v>88</v>
      </c>
      <c r="F108" s="11">
        <v>5</v>
      </c>
      <c r="G108" s="11">
        <v>6</v>
      </c>
      <c r="H108" s="13">
        <v>4004.25</v>
      </c>
      <c r="I108" s="13">
        <v>3941.3</v>
      </c>
      <c r="J108" s="13">
        <v>3541.15</v>
      </c>
      <c r="K108" s="36">
        <v>198</v>
      </c>
      <c r="L108" s="13">
        <f>'Таблица 2, 3 виды ремонта'!C99</f>
        <v>2709232</v>
      </c>
      <c r="M108" s="14">
        <v>0</v>
      </c>
      <c r="N108" s="14">
        <v>0</v>
      </c>
      <c r="O108" s="14">
        <v>0</v>
      </c>
      <c r="P108" s="13">
        <f t="shared" si="1"/>
        <v>2709232</v>
      </c>
      <c r="Q108" s="15" t="s">
        <v>602</v>
      </c>
    </row>
    <row r="109" spans="1:17" s="18" customFormat="1" ht="21" customHeight="1">
      <c r="A109" s="12" t="s">
        <v>104</v>
      </c>
      <c r="B109" s="10" t="s">
        <v>422</v>
      </c>
      <c r="C109" s="11">
        <v>1973</v>
      </c>
      <c r="D109" s="12" t="s">
        <v>87</v>
      </c>
      <c r="E109" s="11" t="s">
        <v>88</v>
      </c>
      <c r="F109" s="11">
        <v>5</v>
      </c>
      <c r="G109" s="11">
        <v>6</v>
      </c>
      <c r="H109" s="13">
        <v>4404.3</v>
      </c>
      <c r="I109" s="13">
        <v>3981.3</v>
      </c>
      <c r="J109" s="13">
        <v>3568.1000000000004</v>
      </c>
      <c r="K109" s="36">
        <v>167</v>
      </c>
      <c r="L109" s="13">
        <f>'Таблица 2, 3 виды ремонта'!C100</f>
        <v>2397835</v>
      </c>
      <c r="M109" s="14">
        <v>0</v>
      </c>
      <c r="N109" s="14">
        <v>0</v>
      </c>
      <c r="O109" s="14">
        <v>0</v>
      </c>
      <c r="P109" s="13">
        <f t="shared" si="1"/>
        <v>2397835</v>
      </c>
      <c r="Q109" s="15" t="s">
        <v>602</v>
      </c>
    </row>
    <row r="110" spans="1:17" s="18" customFormat="1" ht="21" customHeight="1">
      <c r="A110" s="12" t="s">
        <v>105</v>
      </c>
      <c r="B110" s="10" t="s">
        <v>423</v>
      </c>
      <c r="C110" s="11">
        <v>1974</v>
      </c>
      <c r="D110" s="12" t="s">
        <v>87</v>
      </c>
      <c r="E110" s="11" t="s">
        <v>88</v>
      </c>
      <c r="F110" s="11">
        <v>5</v>
      </c>
      <c r="G110" s="11">
        <v>6</v>
      </c>
      <c r="H110" s="13">
        <v>4401.5</v>
      </c>
      <c r="I110" s="13">
        <v>3993.5</v>
      </c>
      <c r="J110" s="13">
        <v>3599.76</v>
      </c>
      <c r="K110" s="36">
        <v>184</v>
      </c>
      <c r="L110" s="13">
        <f>'Таблица 2, 3 виды ремонта'!C101</f>
        <v>2822256</v>
      </c>
      <c r="M110" s="14">
        <v>0</v>
      </c>
      <c r="N110" s="14">
        <v>0</v>
      </c>
      <c r="O110" s="14">
        <v>0</v>
      </c>
      <c r="P110" s="13">
        <f t="shared" si="1"/>
        <v>2822256</v>
      </c>
      <c r="Q110" s="15" t="s">
        <v>602</v>
      </c>
    </row>
    <row r="111" spans="1:17" s="18" customFormat="1" ht="21" customHeight="1">
      <c r="A111" s="12" t="s">
        <v>589</v>
      </c>
      <c r="B111" s="10" t="s">
        <v>424</v>
      </c>
      <c r="C111" s="11">
        <v>1965</v>
      </c>
      <c r="D111" s="12" t="s">
        <v>87</v>
      </c>
      <c r="E111" s="11" t="s">
        <v>89</v>
      </c>
      <c r="F111" s="11">
        <v>5</v>
      </c>
      <c r="G111" s="11">
        <v>6</v>
      </c>
      <c r="H111" s="13">
        <v>5495.91</v>
      </c>
      <c r="I111" s="13">
        <f>4656.21+519.7</f>
        <v>5175.91</v>
      </c>
      <c r="J111" s="13">
        <v>4656.21</v>
      </c>
      <c r="K111" s="36">
        <v>150</v>
      </c>
      <c r="L111" s="13">
        <f>'Таблица 2, 3 виды ремонта'!C102</f>
        <v>2226107</v>
      </c>
      <c r="M111" s="14">
        <v>0</v>
      </c>
      <c r="N111" s="14">
        <v>0</v>
      </c>
      <c r="O111" s="14">
        <v>0</v>
      </c>
      <c r="P111" s="13">
        <f t="shared" si="1"/>
        <v>2226107</v>
      </c>
      <c r="Q111" s="15" t="s">
        <v>602</v>
      </c>
    </row>
    <row r="112" spans="1:17" s="18" customFormat="1" ht="21" customHeight="1">
      <c r="A112" s="12" t="s">
        <v>106</v>
      </c>
      <c r="B112" s="10" t="s">
        <v>425</v>
      </c>
      <c r="C112" s="11">
        <v>1983</v>
      </c>
      <c r="D112" s="12" t="s">
        <v>87</v>
      </c>
      <c r="E112" s="11" t="s">
        <v>89</v>
      </c>
      <c r="F112" s="11">
        <v>5</v>
      </c>
      <c r="G112" s="11">
        <v>1</v>
      </c>
      <c r="H112" s="13">
        <v>2060</v>
      </c>
      <c r="I112" s="13">
        <v>1977.51</v>
      </c>
      <c r="J112" s="13">
        <v>1773.71</v>
      </c>
      <c r="K112" s="36">
        <v>104</v>
      </c>
      <c r="L112" s="13">
        <f>'Таблица 2, 3 виды ремонта'!C103</f>
        <v>955606</v>
      </c>
      <c r="M112" s="14">
        <v>0</v>
      </c>
      <c r="N112" s="14">
        <v>0</v>
      </c>
      <c r="O112" s="14">
        <v>0</v>
      </c>
      <c r="P112" s="13">
        <f t="shared" si="1"/>
        <v>955606</v>
      </c>
      <c r="Q112" s="15" t="s">
        <v>602</v>
      </c>
    </row>
    <row r="113" spans="1:17" s="18" customFormat="1" ht="21" customHeight="1">
      <c r="A113" s="12" t="s">
        <v>107</v>
      </c>
      <c r="B113" s="39" t="s">
        <v>303</v>
      </c>
      <c r="C113" s="12">
        <v>1917</v>
      </c>
      <c r="D113" s="12" t="s">
        <v>87</v>
      </c>
      <c r="E113" s="12" t="s">
        <v>100</v>
      </c>
      <c r="F113" s="12">
        <v>2</v>
      </c>
      <c r="G113" s="12">
        <v>1</v>
      </c>
      <c r="H113" s="14">
        <v>405.08</v>
      </c>
      <c r="I113" s="14">
        <v>303.68</v>
      </c>
      <c r="J113" s="14">
        <v>229.68</v>
      </c>
      <c r="K113" s="12">
        <v>29</v>
      </c>
      <c r="L113" s="13">
        <f>'Таблица 2, 3 виды ремонта'!C104</f>
        <v>250000</v>
      </c>
      <c r="M113" s="14">
        <v>0</v>
      </c>
      <c r="N113" s="14">
        <v>0</v>
      </c>
      <c r="O113" s="14">
        <v>0</v>
      </c>
      <c r="P113" s="13">
        <f t="shared" si="1"/>
        <v>250000</v>
      </c>
      <c r="Q113" s="15" t="s">
        <v>602</v>
      </c>
    </row>
    <row r="114" spans="1:17" s="18" customFormat="1" ht="21" customHeight="1">
      <c r="A114" s="12" t="s">
        <v>108</v>
      </c>
      <c r="B114" s="39" t="s">
        <v>304</v>
      </c>
      <c r="C114" s="12">
        <v>1917</v>
      </c>
      <c r="D114" s="12" t="s">
        <v>87</v>
      </c>
      <c r="E114" s="12" t="s">
        <v>89</v>
      </c>
      <c r="F114" s="12">
        <v>2</v>
      </c>
      <c r="G114" s="12">
        <v>1</v>
      </c>
      <c r="H114" s="14">
        <v>347.34</v>
      </c>
      <c r="I114" s="14">
        <v>238.12</v>
      </c>
      <c r="J114" s="14">
        <v>155.72</v>
      </c>
      <c r="K114" s="12">
        <v>21</v>
      </c>
      <c r="L114" s="13">
        <f>'Таблица 2, 3 виды ремонта'!C105</f>
        <v>250000</v>
      </c>
      <c r="M114" s="14">
        <v>0</v>
      </c>
      <c r="N114" s="14">
        <v>0</v>
      </c>
      <c r="O114" s="14">
        <v>0</v>
      </c>
      <c r="P114" s="13">
        <f t="shared" si="1"/>
        <v>250000</v>
      </c>
      <c r="Q114" s="15" t="s">
        <v>602</v>
      </c>
    </row>
    <row r="115" spans="1:17" s="18" customFormat="1" ht="21" customHeight="1">
      <c r="A115" s="12" t="s">
        <v>109</v>
      </c>
      <c r="B115" s="10" t="s">
        <v>426</v>
      </c>
      <c r="C115" s="11" t="s">
        <v>98</v>
      </c>
      <c r="D115" s="12" t="s">
        <v>87</v>
      </c>
      <c r="E115" s="11" t="s">
        <v>100</v>
      </c>
      <c r="F115" s="11">
        <v>2</v>
      </c>
      <c r="G115" s="11">
        <v>1</v>
      </c>
      <c r="H115" s="13">
        <v>404.9</v>
      </c>
      <c r="I115" s="13">
        <v>342.3</v>
      </c>
      <c r="J115" s="13">
        <v>342.3</v>
      </c>
      <c r="K115" s="36">
        <v>17</v>
      </c>
      <c r="L115" s="13">
        <f>'Таблица 2, 3 виды ремонта'!C106</f>
        <v>1309069</v>
      </c>
      <c r="M115" s="14">
        <v>0</v>
      </c>
      <c r="N115" s="14">
        <v>0</v>
      </c>
      <c r="O115" s="14">
        <v>0</v>
      </c>
      <c r="P115" s="13">
        <f t="shared" si="1"/>
        <v>1309069</v>
      </c>
      <c r="Q115" s="15" t="s">
        <v>602</v>
      </c>
    </row>
    <row r="116" spans="1:17" s="18" customFormat="1" ht="21" customHeight="1">
      <c r="A116" s="12" t="s">
        <v>110</v>
      </c>
      <c r="B116" s="10" t="s">
        <v>427</v>
      </c>
      <c r="C116" s="11">
        <v>1962</v>
      </c>
      <c r="D116" s="12" t="s">
        <v>87</v>
      </c>
      <c r="E116" s="11" t="s">
        <v>89</v>
      </c>
      <c r="F116" s="11">
        <v>5</v>
      </c>
      <c r="G116" s="11">
        <v>2</v>
      </c>
      <c r="H116" s="13">
        <v>1696.7</v>
      </c>
      <c r="I116" s="13">
        <v>1133.3</v>
      </c>
      <c r="J116" s="13">
        <v>789.76</v>
      </c>
      <c r="K116" s="36">
        <v>77</v>
      </c>
      <c r="L116" s="13">
        <f>'Таблица 2, 3 виды ремонта'!C107</f>
        <v>2814558</v>
      </c>
      <c r="M116" s="14">
        <v>0</v>
      </c>
      <c r="N116" s="14">
        <v>0</v>
      </c>
      <c r="O116" s="14">
        <v>0</v>
      </c>
      <c r="P116" s="13">
        <f t="shared" si="1"/>
        <v>2814558</v>
      </c>
      <c r="Q116" s="15" t="s">
        <v>602</v>
      </c>
    </row>
    <row r="117" spans="1:17" s="18" customFormat="1" ht="21" customHeight="1">
      <c r="A117" s="12" t="s">
        <v>111</v>
      </c>
      <c r="B117" s="10" t="s">
        <v>428</v>
      </c>
      <c r="C117" s="11">
        <v>1962</v>
      </c>
      <c r="D117" s="12" t="s">
        <v>87</v>
      </c>
      <c r="E117" s="11" t="s">
        <v>89</v>
      </c>
      <c r="F117" s="11">
        <v>5</v>
      </c>
      <c r="G117" s="11">
        <v>2</v>
      </c>
      <c r="H117" s="13">
        <v>1781.6</v>
      </c>
      <c r="I117" s="13">
        <v>1391.7</v>
      </c>
      <c r="J117" s="13">
        <v>1305.9</v>
      </c>
      <c r="K117" s="36">
        <v>58</v>
      </c>
      <c r="L117" s="13">
        <f>'Таблица 2, 3 виды ремонта'!C108</f>
        <v>1500000</v>
      </c>
      <c r="M117" s="14">
        <v>0</v>
      </c>
      <c r="N117" s="14">
        <v>0</v>
      </c>
      <c r="O117" s="14">
        <v>0</v>
      </c>
      <c r="P117" s="13">
        <f t="shared" si="1"/>
        <v>1500000</v>
      </c>
      <c r="Q117" s="15" t="s">
        <v>602</v>
      </c>
    </row>
    <row r="118" spans="1:17" s="18" customFormat="1" ht="21" customHeight="1">
      <c r="A118" s="12" t="s">
        <v>590</v>
      </c>
      <c r="B118" s="17" t="s">
        <v>305</v>
      </c>
      <c r="C118" s="12">
        <v>1917</v>
      </c>
      <c r="D118" s="12" t="s">
        <v>87</v>
      </c>
      <c r="E118" s="12" t="s">
        <v>89</v>
      </c>
      <c r="F118" s="12">
        <v>2</v>
      </c>
      <c r="G118" s="12">
        <v>1</v>
      </c>
      <c r="H118" s="14">
        <v>513</v>
      </c>
      <c r="I118" s="14">
        <v>427.3</v>
      </c>
      <c r="J118" s="14">
        <v>362.61</v>
      </c>
      <c r="K118" s="12">
        <v>33</v>
      </c>
      <c r="L118" s="13">
        <f>'Таблица 2, 3 виды ремонта'!C109</f>
        <v>250000</v>
      </c>
      <c r="M118" s="14">
        <v>0</v>
      </c>
      <c r="N118" s="14">
        <v>0</v>
      </c>
      <c r="O118" s="14">
        <v>0</v>
      </c>
      <c r="P118" s="13">
        <f t="shared" si="1"/>
        <v>250000</v>
      </c>
      <c r="Q118" s="15" t="s">
        <v>602</v>
      </c>
    </row>
    <row r="119" spans="1:17" s="18" customFormat="1" ht="21" customHeight="1">
      <c r="A119" s="12" t="s">
        <v>112</v>
      </c>
      <c r="B119" s="10" t="s">
        <v>429</v>
      </c>
      <c r="C119" s="11">
        <v>1930</v>
      </c>
      <c r="D119" s="12" t="s">
        <v>87</v>
      </c>
      <c r="E119" s="11" t="s">
        <v>89</v>
      </c>
      <c r="F119" s="11">
        <v>2</v>
      </c>
      <c r="G119" s="11">
        <v>2</v>
      </c>
      <c r="H119" s="13">
        <v>673.8</v>
      </c>
      <c r="I119" s="13">
        <v>673.8</v>
      </c>
      <c r="J119" s="13">
        <v>385</v>
      </c>
      <c r="K119" s="36">
        <v>10</v>
      </c>
      <c r="L119" s="13">
        <f>'Таблица 2, 3 виды ремонта'!C110</f>
        <v>845603.3</v>
      </c>
      <c r="M119" s="14">
        <v>0</v>
      </c>
      <c r="N119" s="14">
        <v>0</v>
      </c>
      <c r="O119" s="14">
        <v>0</v>
      </c>
      <c r="P119" s="13">
        <f t="shared" si="1"/>
        <v>845603.3</v>
      </c>
      <c r="Q119" s="15" t="s">
        <v>99</v>
      </c>
    </row>
    <row r="120" spans="1:17" s="18" customFormat="1" ht="21" customHeight="1">
      <c r="A120" s="12" t="s">
        <v>113</v>
      </c>
      <c r="B120" s="10" t="s">
        <v>430</v>
      </c>
      <c r="C120" s="11">
        <v>1948</v>
      </c>
      <c r="D120" s="12" t="s">
        <v>87</v>
      </c>
      <c r="E120" s="11" t="s">
        <v>89</v>
      </c>
      <c r="F120" s="11">
        <v>3</v>
      </c>
      <c r="G120" s="11">
        <v>2</v>
      </c>
      <c r="H120" s="13">
        <v>1044.8</v>
      </c>
      <c r="I120" s="13">
        <f>656.2+277.9</f>
        <v>934.1</v>
      </c>
      <c r="J120" s="13">
        <v>499.51000000000005</v>
      </c>
      <c r="K120" s="36">
        <v>21</v>
      </c>
      <c r="L120" s="13">
        <f>'Таблица 2, 3 виды ремонта'!C111</f>
        <v>1071937.96</v>
      </c>
      <c r="M120" s="14">
        <v>0</v>
      </c>
      <c r="N120" s="14">
        <v>0</v>
      </c>
      <c r="O120" s="14">
        <v>0</v>
      </c>
      <c r="P120" s="13">
        <f t="shared" si="1"/>
        <v>1071937.96</v>
      </c>
      <c r="Q120" s="15" t="s">
        <v>99</v>
      </c>
    </row>
    <row r="121" spans="1:17" s="18" customFormat="1" ht="21.75" customHeight="1">
      <c r="A121" s="12" t="s">
        <v>114</v>
      </c>
      <c r="B121" s="10" t="s">
        <v>431</v>
      </c>
      <c r="C121" s="11">
        <v>1947</v>
      </c>
      <c r="D121" s="12" t="s">
        <v>87</v>
      </c>
      <c r="E121" s="11" t="s">
        <v>89</v>
      </c>
      <c r="F121" s="11">
        <v>3</v>
      </c>
      <c r="G121" s="11">
        <v>2</v>
      </c>
      <c r="H121" s="13">
        <v>1006.5</v>
      </c>
      <c r="I121" s="13">
        <f>647.6+175.7</f>
        <v>823.3</v>
      </c>
      <c r="J121" s="13">
        <v>497.79</v>
      </c>
      <c r="K121" s="36">
        <v>34</v>
      </c>
      <c r="L121" s="13">
        <f>'Таблица 2, 3 виды ремонта'!C112</f>
        <v>881076.5</v>
      </c>
      <c r="M121" s="14">
        <v>0</v>
      </c>
      <c r="N121" s="14">
        <v>0</v>
      </c>
      <c r="O121" s="14">
        <v>0</v>
      </c>
      <c r="P121" s="13">
        <f t="shared" si="1"/>
        <v>881076.5</v>
      </c>
      <c r="Q121" s="15" t="s">
        <v>99</v>
      </c>
    </row>
    <row r="122" spans="1:17" s="18" customFormat="1" ht="21.75" customHeight="1">
      <c r="A122" s="12" t="s">
        <v>115</v>
      </c>
      <c r="B122" s="10" t="s">
        <v>432</v>
      </c>
      <c r="C122" s="11">
        <v>1976</v>
      </c>
      <c r="D122" s="12" t="s">
        <v>87</v>
      </c>
      <c r="E122" s="11" t="s">
        <v>89</v>
      </c>
      <c r="F122" s="11">
        <v>5</v>
      </c>
      <c r="G122" s="11">
        <v>4</v>
      </c>
      <c r="H122" s="13">
        <v>2689.1</v>
      </c>
      <c r="I122" s="13">
        <f>1834.9+803.5</f>
        <v>2638.4</v>
      </c>
      <c r="J122" s="13">
        <v>1834.9</v>
      </c>
      <c r="K122" s="36">
        <v>147</v>
      </c>
      <c r="L122" s="13">
        <f>'Таблица 2, 3 виды ремонта'!C113</f>
        <v>1552657</v>
      </c>
      <c r="M122" s="14">
        <v>0</v>
      </c>
      <c r="N122" s="14">
        <v>0</v>
      </c>
      <c r="O122" s="14">
        <v>0</v>
      </c>
      <c r="P122" s="13">
        <f t="shared" si="1"/>
        <v>1552657</v>
      </c>
      <c r="Q122" s="15" t="s">
        <v>602</v>
      </c>
    </row>
    <row r="123" spans="1:17" s="18" customFormat="1" ht="21.75" customHeight="1">
      <c r="A123" s="12" t="s">
        <v>116</v>
      </c>
      <c r="B123" s="16" t="s">
        <v>433</v>
      </c>
      <c r="C123" s="11">
        <v>1978</v>
      </c>
      <c r="D123" s="12" t="s">
        <v>87</v>
      </c>
      <c r="E123" s="11" t="s">
        <v>88</v>
      </c>
      <c r="F123" s="11">
        <v>9</v>
      </c>
      <c r="G123" s="11">
        <v>2</v>
      </c>
      <c r="H123" s="13">
        <v>4477</v>
      </c>
      <c r="I123" s="13">
        <f>3794.8+682.2</f>
        <v>4477</v>
      </c>
      <c r="J123" s="13">
        <v>3355.4</v>
      </c>
      <c r="K123" s="36">
        <v>218</v>
      </c>
      <c r="L123" s="13">
        <f>'Таблица 2, 3 виды ремонта'!C114</f>
        <v>594116</v>
      </c>
      <c r="M123" s="14">
        <v>0</v>
      </c>
      <c r="N123" s="14">
        <v>0</v>
      </c>
      <c r="O123" s="14">
        <v>0</v>
      </c>
      <c r="P123" s="13">
        <f t="shared" si="1"/>
        <v>594116</v>
      </c>
      <c r="Q123" s="15" t="s">
        <v>602</v>
      </c>
    </row>
    <row r="124" spans="1:17" s="18" customFormat="1" ht="21.75" customHeight="1">
      <c r="A124" s="12" t="s">
        <v>117</v>
      </c>
      <c r="B124" s="16" t="s">
        <v>434</v>
      </c>
      <c r="C124" s="11">
        <v>1982</v>
      </c>
      <c r="D124" s="12" t="s">
        <v>87</v>
      </c>
      <c r="E124" s="11" t="s">
        <v>89</v>
      </c>
      <c r="F124" s="11">
        <v>5</v>
      </c>
      <c r="G124" s="11">
        <v>2</v>
      </c>
      <c r="H124" s="13">
        <v>3972.3</v>
      </c>
      <c r="I124" s="13">
        <v>3471.9</v>
      </c>
      <c r="J124" s="13">
        <v>1173.9</v>
      </c>
      <c r="K124" s="36">
        <v>329</v>
      </c>
      <c r="L124" s="13">
        <f>'Таблица 2, 3 виды ремонта'!C115</f>
        <v>1145433.08</v>
      </c>
      <c r="M124" s="14">
        <v>0</v>
      </c>
      <c r="N124" s="14">
        <v>0</v>
      </c>
      <c r="O124" s="14">
        <v>0</v>
      </c>
      <c r="P124" s="13">
        <f t="shared" si="1"/>
        <v>1145433.08</v>
      </c>
      <c r="Q124" s="15" t="s">
        <v>99</v>
      </c>
    </row>
    <row r="125" spans="1:17" s="18" customFormat="1" ht="21.75" customHeight="1">
      <c r="A125" s="12" t="s">
        <v>118</v>
      </c>
      <c r="B125" s="16" t="s">
        <v>435</v>
      </c>
      <c r="C125" s="11">
        <v>1965</v>
      </c>
      <c r="D125" s="12" t="s">
        <v>87</v>
      </c>
      <c r="E125" s="11" t="s">
        <v>89</v>
      </c>
      <c r="F125" s="11">
        <v>4</v>
      </c>
      <c r="G125" s="11">
        <v>2</v>
      </c>
      <c r="H125" s="13">
        <v>1154</v>
      </c>
      <c r="I125" s="13">
        <f>865.6+288.4</f>
        <v>1154</v>
      </c>
      <c r="J125" s="13">
        <v>865.6</v>
      </c>
      <c r="K125" s="36">
        <v>45</v>
      </c>
      <c r="L125" s="13">
        <f>'Таблица 2, 3 виды ремонта'!C116</f>
        <v>366413</v>
      </c>
      <c r="M125" s="14">
        <v>0</v>
      </c>
      <c r="N125" s="14">
        <v>0</v>
      </c>
      <c r="O125" s="14">
        <v>0</v>
      </c>
      <c r="P125" s="13">
        <f t="shared" si="1"/>
        <v>366413</v>
      </c>
      <c r="Q125" s="15" t="s">
        <v>602</v>
      </c>
    </row>
    <row r="126" spans="1:17" s="18" customFormat="1" ht="21.75" customHeight="1">
      <c r="A126" s="12" t="s">
        <v>119</v>
      </c>
      <c r="B126" s="16" t="s">
        <v>436</v>
      </c>
      <c r="C126" s="11">
        <v>1982</v>
      </c>
      <c r="D126" s="12" t="s">
        <v>87</v>
      </c>
      <c r="E126" s="11" t="s">
        <v>89</v>
      </c>
      <c r="F126" s="11">
        <v>5</v>
      </c>
      <c r="G126" s="11">
        <v>2</v>
      </c>
      <c r="H126" s="13">
        <v>3953.2</v>
      </c>
      <c r="I126" s="13">
        <v>3546.4</v>
      </c>
      <c r="J126" s="13">
        <v>2726.9</v>
      </c>
      <c r="K126" s="36">
        <v>298</v>
      </c>
      <c r="L126" s="13">
        <f>'Таблица 2, 3 виды ремонта'!C117</f>
        <v>2700000</v>
      </c>
      <c r="M126" s="14">
        <v>0</v>
      </c>
      <c r="N126" s="14">
        <v>0</v>
      </c>
      <c r="O126" s="14">
        <v>0</v>
      </c>
      <c r="P126" s="13">
        <f t="shared" si="1"/>
        <v>2700000</v>
      </c>
      <c r="Q126" s="15" t="s">
        <v>602</v>
      </c>
    </row>
    <row r="127" spans="1:17" s="18" customFormat="1" ht="21.75" customHeight="1">
      <c r="A127" s="12" t="s">
        <v>120</v>
      </c>
      <c r="B127" s="10" t="s">
        <v>437</v>
      </c>
      <c r="C127" s="11">
        <v>1951</v>
      </c>
      <c r="D127" s="12" t="s">
        <v>87</v>
      </c>
      <c r="E127" s="11" t="s">
        <v>89</v>
      </c>
      <c r="F127" s="11">
        <v>2</v>
      </c>
      <c r="G127" s="11">
        <v>1</v>
      </c>
      <c r="H127" s="13">
        <v>263.3</v>
      </c>
      <c r="I127" s="13">
        <v>263.3</v>
      </c>
      <c r="J127" s="13">
        <v>263.3</v>
      </c>
      <c r="K127" s="36">
        <v>21</v>
      </c>
      <c r="L127" s="13">
        <f>'Таблица 2, 3 виды ремонта'!C118</f>
        <v>652473</v>
      </c>
      <c r="M127" s="14">
        <v>0</v>
      </c>
      <c r="N127" s="14">
        <v>0</v>
      </c>
      <c r="O127" s="14">
        <v>0</v>
      </c>
      <c r="P127" s="13">
        <f t="shared" si="1"/>
        <v>652473</v>
      </c>
      <c r="Q127" s="15" t="s">
        <v>602</v>
      </c>
    </row>
    <row r="128" spans="1:17" s="18" customFormat="1" ht="21.75" customHeight="1">
      <c r="A128" s="12" t="s">
        <v>121</v>
      </c>
      <c r="B128" s="10" t="s">
        <v>438</v>
      </c>
      <c r="C128" s="11">
        <v>1916</v>
      </c>
      <c r="D128" s="12" t="s">
        <v>87</v>
      </c>
      <c r="E128" s="11" t="s">
        <v>100</v>
      </c>
      <c r="F128" s="11">
        <v>2</v>
      </c>
      <c r="G128" s="11">
        <v>2</v>
      </c>
      <c r="H128" s="13">
        <v>600.4</v>
      </c>
      <c r="I128" s="13">
        <v>520.3</v>
      </c>
      <c r="J128" s="13">
        <v>327.1</v>
      </c>
      <c r="K128" s="36">
        <v>34</v>
      </c>
      <c r="L128" s="13">
        <f>'Таблица 2, 3 виды ремонта'!C119</f>
        <v>1817401</v>
      </c>
      <c r="M128" s="14">
        <v>0</v>
      </c>
      <c r="N128" s="14">
        <v>0</v>
      </c>
      <c r="O128" s="14">
        <v>0</v>
      </c>
      <c r="P128" s="13">
        <f t="shared" si="1"/>
        <v>1817401</v>
      </c>
      <c r="Q128" s="15" t="s">
        <v>602</v>
      </c>
    </row>
    <row r="129" spans="1:17" s="18" customFormat="1" ht="21.75" customHeight="1">
      <c r="A129" s="12" t="s">
        <v>122</v>
      </c>
      <c r="B129" s="10" t="s">
        <v>439</v>
      </c>
      <c r="C129" s="11">
        <v>1971</v>
      </c>
      <c r="D129" s="12" t="s">
        <v>87</v>
      </c>
      <c r="E129" s="11" t="s">
        <v>89</v>
      </c>
      <c r="F129" s="11">
        <v>9</v>
      </c>
      <c r="G129" s="11">
        <v>1</v>
      </c>
      <c r="H129" s="13">
        <v>2519</v>
      </c>
      <c r="I129" s="13">
        <v>2519</v>
      </c>
      <c r="J129" s="13">
        <v>2519</v>
      </c>
      <c r="K129" s="36">
        <v>106</v>
      </c>
      <c r="L129" s="13">
        <f>'Таблица 2, 3 виды ремонта'!C120</f>
        <v>1568350</v>
      </c>
      <c r="M129" s="14">
        <v>0</v>
      </c>
      <c r="N129" s="14">
        <v>0</v>
      </c>
      <c r="O129" s="14">
        <v>0</v>
      </c>
      <c r="P129" s="13">
        <f t="shared" si="1"/>
        <v>1568350</v>
      </c>
      <c r="Q129" s="15" t="s">
        <v>602</v>
      </c>
    </row>
    <row r="130" spans="1:17" s="18" customFormat="1" ht="21.75" customHeight="1">
      <c r="A130" s="12" t="s">
        <v>123</v>
      </c>
      <c r="B130" s="10" t="s">
        <v>440</v>
      </c>
      <c r="C130" s="11">
        <v>1982</v>
      </c>
      <c r="D130" s="12" t="s">
        <v>87</v>
      </c>
      <c r="E130" s="11" t="s">
        <v>89</v>
      </c>
      <c r="F130" s="11">
        <v>9</v>
      </c>
      <c r="G130" s="11">
        <v>1</v>
      </c>
      <c r="H130" s="13">
        <v>7275.9</v>
      </c>
      <c r="I130" s="13">
        <f>6435.8+190.6</f>
        <v>6626.400000000001</v>
      </c>
      <c r="J130" s="13">
        <v>4789.8</v>
      </c>
      <c r="K130" s="36">
        <v>511</v>
      </c>
      <c r="L130" s="13">
        <f>'Таблица 2, 3 виды ремонта'!C121</f>
        <v>3089508.17</v>
      </c>
      <c r="M130" s="14">
        <v>0</v>
      </c>
      <c r="N130" s="14">
        <v>0</v>
      </c>
      <c r="O130" s="14">
        <v>0</v>
      </c>
      <c r="P130" s="13">
        <f t="shared" si="1"/>
        <v>3089508.17</v>
      </c>
      <c r="Q130" s="15" t="s">
        <v>602</v>
      </c>
    </row>
    <row r="131" spans="1:17" s="18" customFormat="1" ht="21.75" customHeight="1">
      <c r="A131" s="12" t="s">
        <v>124</v>
      </c>
      <c r="B131" s="10" t="s">
        <v>441</v>
      </c>
      <c r="C131" s="11">
        <v>1952</v>
      </c>
      <c r="D131" s="12" t="s">
        <v>87</v>
      </c>
      <c r="E131" s="11" t="s">
        <v>89</v>
      </c>
      <c r="F131" s="11">
        <v>2</v>
      </c>
      <c r="G131" s="11">
        <v>2</v>
      </c>
      <c r="H131" s="13">
        <v>1312.13</v>
      </c>
      <c r="I131" s="13">
        <v>797.17</v>
      </c>
      <c r="J131" s="13">
        <v>606.27</v>
      </c>
      <c r="K131" s="36">
        <v>37</v>
      </c>
      <c r="L131" s="13">
        <f>'Таблица 2, 3 виды ремонта'!C122</f>
        <v>1022133.7</v>
      </c>
      <c r="M131" s="14">
        <v>0</v>
      </c>
      <c r="N131" s="14">
        <v>0</v>
      </c>
      <c r="O131" s="14">
        <v>0</v>
      </c>
      <c r="P131" s="13">
        <f t="shared" si="1"/>
        <v>1022133.7</v>
      </c>
      <c r="Q131" s="15" t="s">
        <v>99</v>
      </c>
    </row>
    <row r="132" spans="1:17" s="18" customFormat="1" ht="21.75" customHeight="1">
      <c r="A132" s="12" t="s">
        <v>125</v>
      </c>
      <c r="B132" s="10" t="s">
        <v>442</v>
      </c>
      <c r="C132" s="11">
        <v>1933</v>
      </c>
      <c r="D132" s="12" t="s">
        <v>87</v>
      </c>
      <c r="E132" s="11" t="s">
        <v>89</v>
      </c>
      <c r="F132" s="11">
        <v>4</v>
      </c>
      <c r="G132" s="11">
        <v>7</v>
      </c>
      <c r="H132" s="13">
        <v>5306.1</v>
      </c>
      <c r="I132" s="13">
        <f>4652.4+563.89</f>
        <v>5216.29</v>
      </c>
      <c r="J132" s="13">
        <v>3963.3999999999996</v>
      </c>
      <c r="K132" s="36">
        <v>245</v>
      </c>
      <c r="L132" s="13">
        <f>'Таблица 2, 3 виды ремонта'!C123</f>
        <v>631139</v>
      </c>
      <c r="M132" s="14">
        <v>0</v>
      </c>
      <c r="N132" s="14">
        <v>0</v>
      </c>
      <c r="O132" s="14">
        <v>0</v>
      </c>
      <c r="P132" s="13">
        <f t="shared" si="1"/>
        <v>631139</v>
      </c>
      <c r="Q132" s="15" t="s">
        <v>602</v>
      </c>
    </row>
    <row r="133" spans="1:17" s="18" customFormat="1" ht="21.75" customHeight="1">
      <c r="A133" s="12" t="s">
        <v>126</v>
      </c>
      <c r="B133" s="16" t="s">
        <v>443</v>
      </c>
      <c r="C133" s="11">
        <v>1987</v>
      </c>
      <c r="D133" s="12" t="s">
        <v>87</v>
      </c>
      <c r="E133" s="11" t="s">
        <v>89</v>
      </c>
      <c r="F133" s="11">
        <v>3</v>
      </c>
      <c r="G133" s="11">
        <v>3</v>
      </c>
      <c r="H133" s="13">
        <v>1368</v>
      </c>
      <c r="I133" s="13">
        <f>1293.1+74.9</f>
        <v>1368</v>
      </c>
      <c r="J133" s="13">
        <v>707.0999999999999</v>
      </c>
      <c r="K133" s="36">
        <v>81</v>
      </c>
      <c r="L133" s="13">
        <f>'Таблица 2, 3 виды ремонта'!C124</f>
        <v>655232</v>
      </c>
      <c r="M133" s="14">
        <v>0</v>
      </c>
      <c r="N133" s="14">
        <v>0</v>
      </c>
      <c r="O133" s="14">
        <v>0</v>
      </c>
      <c r="P133" s="13">
        <f t="shared" si="1"/>
        <v>655232</v>
      </c>
      <c r="Q133" s="15" t="s">
        <v>602</v>
      </c>
    </row>
    <row r="134" spans="1:17" s="18" customFormat="1" ht="21.75" customHeight="1">
      <c r="A134" s="12" t="s">
        <v>127</v>
      </c>
      <c r="B134" s="16" t="s">
        <v>444</v>
      </c>
      <c r="C134" s="11">
        <v>1991</v>
      </c>
      <c r="D134" s="12" t="s">
        <v>87</v>
      </c>
      <c r="E134" s="11" t="s">
        <v>89</v>
      </c>
      <c r="F134" s="11">
        <v>5</v>
      </c>
      <c r="G134" s="11">
        <v>4</v>
      </c>
      <c r="H134" s="13">
        <v>4389</v>
      </c>
      <c r="I134" s="13">
        <f>3054.9+1334.1</f>
        <v>4389</v>
      </c>
      <c r="J134" s="13">
        <v>2720.7000000000003</v>
      </c>
      <c r="K134" s="36">
        <v>166</v>
      </c>
      <c r="L134" s="13">
        <f>'Таблица 2, 3 виды ремонта'!C125</f>
        <v>129340</v>
      </c>
      <c r="M134" s="14">
        <v>0</v>
      </c>
      <c r="N134" s="14">
        <v>0</v>
      </c>
      <c r="O134" s="14">
        <v>0</v>
      </c>
      <c r="P134" s="13">
        <f t="shared" si="1"/>
        <v>129340</v>
      </c>
      <c r="Q134" s="15" t="s">
        <v>602</v>
      </c>
    </row>
    <row r="135" spans="1:17" s="18" customFormat="1" ht="21.75" customHeight="1">
      <c r="A135" s="12" t="s">
        <v>128</v>
      </c>
      <c r="B135" s="10" t="s">
        <v>445</v>
      </c>
      <c r="C135" s="11">
        <v>1970</v>
      </c>
      <c r="D135" s="12" t="s">
        <v>87</v>
      </c>
      <c r="E135" s="11" t="s">
        <v>89</v>
      </c>
      <c r="F135" s="11">
        <v>5</v>
      </c>
      <c r="G135" s="11">
        <v>10</v>
      </c>
      <c r="H135" s="13">
        <v>8703.49</v>
      </c>
      <c r="I135" s="13">
        <f>6889.24+379.75</f>
        <v>7268.99</v>
      </c>
      <c r="J135" s="13">
        <v>5648.49</v>
      </c>
      <c r="K135" s="36">
        <v>327</v>
      </c>
      <c r="L135" s="13">
        <f>'Таблица 2, 3 виды ремонта'!C126</f>
        <v>2943545</v>
      </c>
      <c r="M135" s="14">
        <v>0</v>
      </c>
      <c r="N135" s="14">
        <v>0</v>
      </c>
      <c r="O135" s="14">
        <v>0</v>
      </c>
      <c r="P135" s="13">
        <f t="shared" si="1"/>
        <v>2943545</v>
      </c>
      <c r="Q135" s="15" t="s">
        <v>602</v>
      </c>
    </row>
    <row r="136" spans="1:17" s="18" customFormat="1" ht="21.75" customHeight="1">
      <c r="A136" s="12" t="s">
        <v>129</v>
      </c>
      <c r="B136" s="10" t="s">
        <v>446</v>
      </c>
      <c r="C136" s="11">
        <v>1959</v>
      </c>
      <c r="D136" s="12" t="s">
        <v>87</v>
      </c>
      <c r="E136" s="11" t="s">
        <v>89</v>
      </c>
      <c r="F136" s="11">
        <v>4</v>
      </c>
      <c r="G136" s="11">
        <v>2</v>
      </c>
      <c r="H136" s="13">
        <v>1555.9</v>
      </c>
      <c r="I136" s="13">
        <f>869+177.8</f>
        <v>1046.8</v>
      </c>
      <c r="J136" s="13">
        <v>751</v>
      </c>
      <c r="K136" s="36">
        <v>64</v>
      </c>
      <c r="L136" s="13">
        <f>'Таблица 2, 3 виды ремонта'!C127</f>
        <v>188298</v>
      </c>
      <c r="M136" s="14">
        <v>0</v>
      </c>
      <c r="N136" s="14">
        <v>0</v>
      </c>
      <c r="O136" s="14">
        <v>0</v>
      </c>
      <c r="P136" s="13">
        <f t="shared" si="1"/>
        <v>188298</v>
      </c>
      <c r="Q136" s="15" t="s">
        <v>99</v>
      </c>
    </row>
    <row r="137" spans="1:17" s="18" customFormat="1" ht="21.75" customHeight="1">
      <c r="A137" s="12" t="s">
        <v>130</v>
      </c>
      <c r="B137" s="10" t="s">
        <v>447</v>
      </c>
      <c r="C137" s="11">
        <v>1961</v>
      </c>
      <c r="D137" s="12" t="s">
        <v>87</v>
      </c>
      <c r="E137" s="11" t="s">
        <v>89</v>
      </c>
      <c r="F137" s="11">
        <v>5</v>
      </c>
      <c r="G137" s="11">
        <v>4</v>
      </c>
      <c r="H137" s="13">
        <v>3115.5</v>
      </c>
      <c r="I137" s="13">
        <v>1989.44</v>
      </c>
      <c r="J137" s="13">
        <v>1989.44</v>
      </c>
      <c r="K137" s="36">
        <v>161</v>
      </c>
      <c r="L137" s="13">
        <f>'Таблица 2, 3 виды ремонта'!C128</f>
        <v>1425690</v>
      </c>
      <c r="M137" s="14">
        <v>0</v>
      </c>
      <c r="N137" s="14">
        <v>0</v>
      </c>
      <c r="O137" s="14">
        <v>0</v>
      </c>
      <c r="P137" s="13">
        <f t="shared" si="1"/>
        <v>1425690</v>
      </c>
      <c r="Q137" s="15" t="s">
        <v>99</v>
      </c>
    </row>
    <row r="138" spans="1:17" s="18" customFormat="1" ht="21.75" customHeight="1">
      <c r="A138" s="12" t="s">
        <v>131</v>
      </c>
      <c r="B138" s="10" t="s">
        <v>448</v>
      </c>
      <c r="C138" s="11">
        <v>1972</v>
      </c>
      <c r="D138" s="12" t="s">
        <v>87</v>
      </c>
      <c r="E138" s="11" t="s">
        <v>89</v>
      </c>
      <c r="F138" s="11">
        <v>5</v>
      </c>
      <c r="G138" s="11">
        <v>5</v>
      </c>
      <c r="H138" s="13">
        <v>4040.5</v>
      </c>
      <c r="I138" s="13">
        <f>2777+74.2</f>
        <v>2851.2</v>
      </c>
      <c r="J138" s="13">
        <v>2777</v>
      </c>
      <c r="K138" s="36">
        <v>196</v>
      </c>
      <c r="L138" s="13">
        <f>'Таблица 2, 3 виды ремонта'!C129</f>
        <v>1523674</v>
      </c>
      <c r="M138" s="14">
        <v>0</v>
      </c>
      <c r="N138" s="14">
        <v>0</v>
      </c>
      <c r="O138" s="14">
        <v>0</v>
      </c>
      <c r="P138" s="13">
        <f t="shared" si="1"/>
        <v>1523674</v>
      </c>
      <c r="Q138" s="15" t="s">
        <v>602</v>
      </c>
    </row>
    <row r="139" spans="1:17" s="18" customFormat="1" ht="21.75" customHeight="1">
      <c r="A139" s="12" t="s">
        <v>132</v>
      </c>
      <c r="B139" s="10" t="s">
        <v>449</v>
      </c>
      <c r="C139" s="11">
        <v>1960</v>
      </c>
      <c r="D139" s="12" t="s">
        <v>87</v>
      </c>
      <c r="E139" s="11" t="s">
        <v>89</v>
      </c>
      <c r="F139" s="11">
        <v>4</v>
      </c>
      <c r="G139" s="11">
        <v>3</v>
      </c>
      <c r="H139" s="13">
        <v>3638.11</v>
      </c>
      <c r="I139" s="13">
        <v>2044.81</v>
      </c>
      <c r="J139" s="13">
        <v>1665.01</v>
      </c>
      <c r="K139" s="36">
        <v>100</v>
      </c>
      <c r="L139" s="13">
        <f>'Таблица 2, 3 виды ремонта'!C130</f>
        <v>295737.26</v>
      </c>
      <c r="M139" s="14">
        <v>0</v>
      </c>
      <c r="N139" s="14">
        <v>0</v>
      </c>
      <c r="O139" s="14">
        <v>0</v>
      </c>
      <c r="P139" s="13">
        <f t="shared" si="1"/>
        <v>295737.26</v>
      </c>
      <c r="Q139" s="15" t="s">
        <v>602</v>
      </c>
    </row>
    <row r="140" spans="1:17" s="18" customFormat="1" ht="21.75" customHeight="1">
      <c r="A140" s="12" t="s">
        <v>133</v>
      </c>
      <c r="B140" s="10" t="s">
        <v>450</v>
      </c>
      <c r="C140" s="11">
        <v>1961</v>
      </c>
      <c r="D140" s="12" t="s">
        <v>87</v>
      </c>
      <c r="E140" s="11" t="s">
        <v>89</v>
      </c>
      <c r="F140" s="11">
        <v>4</v>
      </c>
      <c r="G140" s="11">
        <v>3</v>
      </c>
      <c r="H140" s="13">
        <v>3497.16</v>
      </c>
      <c r="I140" s="13">
        <v>2001.85</v>
      </c>
      <c r="J140" s="13">
        <v>1278.6499999999999</v>
      </c>
      <c r="K140" s="36">
        <v>173</v>
      </c>
      <c r="L140" s="13">
        <f>'Таблица 2, 3 виды ремонта'!C131</f>
        <v>2335270</v>
      </c>
      <c r="M140" s="14">
        <v>0</v>
      </c>
      <c r="N140" s="14">
        <v>0</v>
      </c>
      <c r="O140" s="14">
        <v>0</v>
      </c>
      <c r="P140" s="13">
        <f t="shared" si="1"/>
        <v>2335270</v>
      </c>
      <c r="Q140" s="15" t="s">
        <v>602</v>
      </c>
    </row>
    <row r="141" spans="1:17" s="18" customFormat="1" ht="21.75" customHeight="1">
      <c r="A141" s="12" t="s">
        <v>134</v>
      </c>
      <c r="B141" s="20" t="s">
        <v>451</v>
      </c>
      <c r="C141" s="11">
        <v>1961</v>
      </c>
      <c r="D141" s="12" t="s">
        <v>87</v>
      </c>
      <c r="E141" s="11" t="s">
        <v>89</v>
      </c>
      <c r="F141" s="11">
        <v>3</v>
      </c>
      <c r="G141" s="11">
        <v>2</v>
      </c>
      <c r="H141" s="13">
        <v>969.81</v>
      </c>
      <c r="I141" s="13">
        <v>969.81</v>
      </c>
      <c r="J141" s="13">
        <v>681.6099999999999</v>
      </c>
      <c r="K141" s="36">
        <v>52</v>
      </c>
      <c r="L141" s="13">
        <f>'Таблица 2, 3 виды ремонта'!C132</f>
        <v>886037.22</v>
      </c>
      <c r="M141" s="14">
        <v>0</v>
      </c>
      <c r="N141" s="14">
        <v>0</v>
      </c>
      <c r="O141" s="14">
        <v>0</v>
      </c>
      <c r="P141" s="13">
        <f t="shared" si="1"/>
        <v>886037.22</v>
      </c>
      <c r="Q141" s="15" t="s">
        <v>99</v>
      </c>
    </row>
    <row r="142" spans="1:17" s="18" customFormat="1" ht="21.75" customHeight="1">
      <c r="A142" s="12" t="s">
        <v>135</v>
      </c>
      <c r="B142" s="10" t="s">
        <v>452</v>
      </c>
      <c r="C142" s="11">
        <v>1957</v>
      </c>
      <c r="D142" s="12" t="s">
        <v>87</v>
      </c>
      <c r="E142" s="11" t="s">
        <v>89</v>
      </c>
      <c r="F142" s="11">
        <v>2</v>
      </c>
      <c r="G142" s="11">
        <v>1</v>
      </c>
      <c r="H142" s="13">
        <v>645.3</v>
      </c>
      <c r="I142" s="13">
        <v>402.5</v>
      </c>
      <c r="J142" s="13">
        <v>259.5</v>
      </c>
      <c r="K142" s="36">
        <v>38</v>
      </c>
      <c r="L142" s="13">
        <f>'Таблица 2, 3 виды ремонта'!C133</f>
        <v>875800</v>
      </c>
      <c r="M142" s="14">
        <v>0</v>
      </c>
      <c r="N142" s="14">
        <v>0</v>
      </c>
      <c r="O142" s="14">
        <v>0</v>
      </c>
      <c r="P142" s="13">
        <f aca="true" t="shared" si="2" ref="P142:P200">L142</f>
        <v>875800</v>
      </c>
      <c r="Q142" s="15" t="s">
        <v>602</v>
      </c>
    </row>
    <row r="143" spans="1:17" s="18" customFormat="1" ht="21.75" customHeight="1">
      <c r="A143" s="12" t="s">
        <v>136</v>
      </c>
      <c r="B143" s="17" t="s">
        <v>306</v>
      </c>
      <c r="C143" s="12">
        <v>1957</v>
      </c>
      <c r="D143" s="12" t="s">
        <v>87</v>
      </c>
      <c r="E143" s="12" t="s">
        <v>89</v>
      </c>
      <c r="F143" s="12">
        <v>3</v>
      </c>
      <c r="G143" s="12">
        <v>2</v>
      </c>
      <c r="H143" s="14">
        <v>1104</v>
      </c>
      <c r="I143" s="14">
        <v>695.5</v>
      </c>
      <c r="J143" s="14">
        <v>360</v>
      </c>
      <c r="K143" s="12">
        <v>42</v>
      </c>
      <c r="L143" s="13">
        <f>'Таблица 2, 3 виды ремонта'!C134</f>
        <v>250000</v>
      </c>
      <c r="M143" s="14">
        <v>0</v>
      </c>
      <c r="N143" s="14">
        <v>0</v>
      </c>
      <c r="O143" s="14">
        <v>0</v>
      </c>
      <c r="P143" s="13">
        <f t="shared" si="2"/>
        <v>250000</v>
      </c>
      <c r="Q143" s="15" t="s">
        <v>602</v>
      </c>
    </row>
    <row r="144" spans="1:17" s="18" customFormat="1" ht="21.75" customHeight="1">
      <c r="A144" s="12" t="s">
        <v>137</v>
      </c>
      <c r="B144" s="10" t="s">
        <v>453</v>
      </c>
      <c r="C144" s="11">
        <v>1950</v>
      </c>
      <c r="D144" s="12" t="s">
        <v>87</v>
      </c>
      <c r="E144" s="11" t="s">
        <v>169</v>
      </c>
      <c r="F144" s="11">
        <v>2</v>
      </c>
      <c r="G144" s="11">
        <v>2</v>
      </c>
      <c r="H144" s="13">
        <v>623.9</v>
      </c>
      <c r="I144" s="13">
        <v>524.2</v>
      </c>
      <c r="J144" s="13">
        <v>393.20000000000005</v>
      </c>
      <c r="K144" s="36">
        <v>27</v>
      </c>
      <c r="L144" s="13">
        <f>'Таблица 2, 3 виды ремонта'!C135</f>
        <v>981561</v>
      </c>
      <c r="M144" s="14">
        <v>0</v>
      </c>
      <c r="N144" s="14">
        <v>0</v>
      </c>
      <c r="O144" s="14">
        <v>0</v>
      </c>
      <c r="P144" s="13">
        <f t="shared" si="2"/>
        <v>981561</v>
      </c>
      <c r="Q144" s="15" t="s">
        <v>602</v>
      </c>
    </row>
    <row r="145" spans="1:17" s="18" customFormat="1" ht="21.75" customHeight="1">
      <c r="A145" s="12" t="s">
        <v>138</v>
      </c>
      <c r="B145" s="10" t="s">
        <v>454</v>
      </c>
      <c r="C145" s="11">
        <v>1946</v>
      </c>
      <c r="D145" s="12" t="s">
        <v>87</v>
      </c>
      <c r="E145" s="11" t="s">
        <v>89</v>
      </c>
      <c r="F145" s="11">
        <v>2</v>
      </c>
      <c r="G145" s="11">
        <v>2</v>
      </c>
      <c r="H145" s="13">
        <v>672.5</v>
      </c>
      <c r="I145" s="13">
        <v>494.2</v>
      </c>
      <c r="J145" s="13">
        <v>433.09999999999997</v>
      </c>
      <c r="K145" s="36">
        <v>31</v>
      </c>
      <c r="L145" s="13">
        <f>'Таблица 2, 3 виды ремонта'!C136</f>
        <v>740924.4</v>
      </c>
      <c r="M145" s="14">
        <v>0</v>
      </c>
      <c r="N145" s="14">
        <v>0</v>
      </c>
      <c r="O145" s="14">
        <v>0</v>
      </c>
      <c r="P145" s="13">
        <f t="shared" si="2"/>
        <v>740924.4</v>
      </c>
      <c r="Q145" s="15" t="s">
        <v>99</v>
      </c>
    </row>
    <row r="146" spans="1:17" s="18" customFormat="1" ht="21.75" customHeight="1">
      <c r="A146" s="12" t="s">
        <v>139</v>
      </c>
      <c r="B146" s="10" t="s">
        <v>455</v>
      </c>
      <c r="C146" s="11">
        <v>1969</v>
      </c>
      <c r="D146" s="12" t="s">
        <v>87</v>
      </c>
      <c r="E146" s="11" t="s">
        <v>88</v>
      </c>
      <c r="F146" s="11">
        <v>5</v>
      </c>
      <c r="G146" s="11">
        <v>6</v>
      </c>
      <c r="H146" s="13">
        <v>5674</v>
      </c>
      <c r="I146" s="13">
        <v>3999.85</v>
      </c>
      <c r="J146" s="13">
        <v>3386.5299999999997</v>
      </c>
      <c r="K146" s="36">
        <v>202</v>
      </c>
      <c r="L146" s="13">
        <f>'Таблица 2, 3 виды ремонта'!C137</f>
        <v>789191</v>
      </c>
      <c r="M146" s="14">
        <v>0</v>
      </c>
      <c r="N146" s="14">
        <v>0</v>
      </c>
      <c r="O146" s="14">
        <v>0</v>
      </c>
      <c r="P146" s="13">
        <f t="shared" si="2"/>
        <v>789191</v>
      </c>
      <c r="Q146" s="15" t="s">
        <v>99</v>
      </c>
    </row>
    <row r="147" spans="1:17" s="18" customFormat="1" ht="21.75" customHeight="1">
      <c r="A147" s="12" t="s">
        <v>140</v>
      </c>
      <c r="B147" s="10" t="s">
        <v>456</v>
      </c>
      <c r="C147" s="11">
        <v>1965</v>
      </c>
      <c r="D147" s="12" t="s">
        <v>87</v>
      </c>
      <c r="E147" s="11" t="s">
        <v>88</v>
      </c>
      <c r="F147" s="11">
        <v>5</v>
      </c>
      <c r="G147" s="11">
        <v>4</v>
      </c>
      <c r="H147" s="13">
        <v>4806</v>
      </c>
      <c r="I147" s="13">
        <v>3587.28</v>
      </c>
      <c r="J147" s="13">
        <v>2690.78</v>
      </c>
      <c r="K147" s="36">
        <v>182</v>
      </c>
      <c r="L147" s="13">
        <f>'Таблица 2, 3 виды ремонта'!C138</f>
        <v>284471</v>
      </c>
      <c r="M147" s="14">
        <v>0</v>
      </c>
      <c r="N147" s="14">
        <v>0</v>
      </c>
      <c r="O147" s="14">
        <v>0</v>
      </c>
      <c r="P147" s="13">
        <f t="shared" si="2"/>
        <v>284471</v>
      </c>
      <c r="Q147" s="15" t="s">
        <v>99</v>
      </c>
    </row>
    <row r="148" spans="1:17" s="18" customFormat="1" ht="21.75" customHeight="1">
      <c r="A148" s="12" t="s">
        <v>141</v>
      </c>
      <c r="B148" s="16" t="s">
        <v>457</v>
      </c>
      <c r="C148" s="11">
        <v>1976</v>
      </c>
      <c r="D148" s="12" t="s">
        <v>87</v>
      </c>
      <c r="E148" s="11" t="s">
        <v>88</v>
      </c>
      <c r="F148" s="11">
        <v>9</v>
      </c>
      <c r="G148" s="11">
        <v>4</v>
      </c>
      <c r="H148" s="13">
        <v>9789</v>
      </c>
      <c r="I148" s="13">
        <f>7560.7+2228.3</f>
        <v>9789</v>
      </c>
      <c r="J148" s="13">
        <v>7167.4</v>
      </c>
      <c r="K148" s="36">
        <v>415</v>
      </c>
      <c r="L148" s="13">
        <f>'Таблица 2, 3 виды ремонта'!C139</f>
        <v>1158569</v>
      </c>
      <c r="M148" s="14">
        <v>0</v>
      </c>
      <c r="N148" s="14">
        <v>0</v>
      </c>
      <c r="O148" s="14">
        <v>0</v>
      </c>
      <c r="P148" s="13">
        <f t="shared" si="2"/>
        <v>1158569</v>
      </c>
      <c r="Q148" s="15" t="s">
        <v>602</v>
      </c>
    </row>
    <row r="149" spans="1:17" s="18" customFormat="1" ht="21.75" customHeight="1">
      <c r="A149" s="12" t="s">
        <v>610</v>
      </c>
      <c r="B149" s="10" t="s">
        <v>458</v>
      </c>
      <c r="C149" s="11">
        <v>1965</v>
      </c>
      <c r="D149" s="12" t="s">
        <v>87</v>
      </c>
      <c r="E149" s="11" t="s">
        <v>89</v>
      </c>
      <c r="F149" s="11">
        <v>9</v>
      </c>
      <c r="G149" s="11">
        <v>1</v>
      </c>
      <c r="H149" s="13">
        <v>2185.94</v>
      </c>
      <c r="I149" s="13">
        <f>2054.04+131.9</f>
        <v>2185.94</v>
      </c>
      <c r="J149" s="13">
        <v>2009.84</v>
      </c>
      <c r="K149" s="36">
        <v>95</v>
      </c>
      <c r="L149" s="13">
        <f>'Таблица 2, 3 виды ремонта'!C140</f>
        <v>1682315.96</v>
      </c>
      <c r="M149" s="14">
        <v>0</v>
      </c>
      <c r="N149" s="14">
        <v>0</v>
      </c>
      <c r="O149" s="14">
        <v>0</v>
      </c>
      <c r="P149" s="13">
        <f t="shared" si="2"/>
        <v>1682315.96</v>
      </c>
      <c r="Q149" s="15" t="s">
        <v>602</v>
      </c>
    </row>
    <row r="150" spans="1:17" s="18" customFormat="1" ht="21.75" customHeight="1">
      <c r="A150" s="12" t="s">
        <v>142</v>
      </c>
      <c r="B150" s="10" t="s">
        <v>459</v>
      </c>
      <c r="C150" s="11">
        <v>1917</v>
      </c>
      <c r="D150" s="12" t="s">
        <v>87</v>
      </c>
      <c r="E150" s="11" t="s">
        <v>89</v>
      </c>
      <c r="F150" s="11">
        <v>1</v>
      </c>
      <c r="G150" s="11">
        <v>2</v>
      </c>
      <c r="H150" s="13">
        <v>242</v>
      </c>
      <c r="I150" s="13">
        <v>242</v>
      </c>
      <c r="J150" s="13">
        <v>242</v>
      </c>
      <c r="K150" s="36">
        <v>11</v>
      </c>
      <c r="L150" s="13">
        <f>'Таблица 2, 3 виды ремонта'!C141</f>
        <v>381270</v>
      </c>
      <c r="M150" s="14">
        <v>0</v>
      </c>
      <c r="N150" s="14">
        <v>0</v>
      </c>
      <c r="O150" s="14">
        <v>0</v>
      </c>
      <c r="P150" s="13">
        <f t="shared" si="2"/>
        <v>381270</v>
      </c>
      <c r="Q150" s="15" t="s">
        <v>602</v>
      </c>
    </row>
    <row r="151" spans="1:17" s="18" customFormat="1" ht="21.75" customHeight="1">
      <c r="A151" s="12" t="s">
        <v>143</v>
      </c>
      <c r="B151" s="17" t="s">
        <v>307</v>
      </c>
      <c r="C151" s="12">
        <v>1917</v>
      </c>
      <c r="D151" s="12" t="s">
        <v>87</v>
      </c>
      <c r="E151" s="12" t="s">
        <v>89</v>
      </c>
      <c r="F151" s="12">
        <v>2</v>
      </c>
      <c r="G151" s="12">
        <v>4</v>
      </c>
      <c r="H151" s="14">
        <v>271.2</v>
      </c>
      <c r="I151" s="14">
        <v>271.2</v>
      </c>
      <c r="J151" s="14">
        <v>199.2</v>
      </c>
      <c r="K151" s="12">
        <v>22</v>
      </c>
      <c r="L151" s="13">
        <f>'Таблица 2, 3 виды ремонта'!C142</f>
        <v>250000</v>
      </c>
      <c r="M151" s="14">
        <v>0</v>
      </c>
      <c r="N151" s="14">
        <v>0</v>
      </c>
      <c r="O151" s="14">
        <v>0</v>
      </c>
      <c r="P151" s="13">
        <f t="shared" si="2"/>
        <v>250000</v>
      </c>
      <c r="Q151" s="15" t="s">
        <v>602</v>
      </c>
    </row>
    <row r="152" spans="1:17" s="18" customFormat="1" ht="21.75" customHeight="1">
      <c r="A152" s="12" t="s">
        <v>144</v>
      </c>
      <c r="B152" s="17" t="s">
        <v>308</v>
      </c>
      <c r="C152" s="12">
        <v>1917</v>
      </c>
      <c r="D152" s="12" t="s">
        <v>87</v>
      </c>
      <c r="E152" s="12" t="s">
        <v>100</v>
      </c>
      <c r="F152" s="12">
        <v>1</v>
      </c>
      <c r="G152" s="12">
        <v>1</v>
      </c>
      <c r="H152" s="14">
        <v>1107.15</v>
      </c>
      <c r="I152" s="14">
        <v>489.25</v>
      </c>
      <c r="J152" s="14">
        <v>320.45</v>
      </c>
      <c r="K152" s="12">
        <v>37</v>
      </c>
      <c r="L152" s="13">
        <f>'Таблица 2, 3 виды ремонта'!C143</f>
        <v>250000</v>
      </c>
      <c r="M152" s="14">
        <v>0</v>
      </c>
      <c r="N152" s="14">
        <v>0</v>
      </c>
      <c r="O152" s="14">
        <v>0</v>
      </c>
      <c r="P152" s="13">
        <f t="shared" si="2"/>
        <v>250000</v>
      </c>
      <c r="Q152" s="15" t="s">
        <v>602</v>
      </c>
    </row>
    <row r="153" spans="1:17" s="18" customFormat="1" ht="21.75" customHeight="1">
      <c r="A153" s="12" t="s">
        <v>145</v>
      </c>
      <c r="B153" s="17" t="s">
        <v>309</v>
      </c>
      <c r="C153" s="12">
        <v>1917</v>
      </c>
      <c r="D153" s="12" t="s">
        <v>87</v>
      </c>
      <c r="E153" s="12" t="s">
        <v>89</v>
      </c>
      <c r="F153" s="12">
        <v>2</v>
      </c>
      <c r="G153" s="12">
        <v>1</v>
      </c>
      <c r="H153" s="14">
        <v>548.89</v>
      </c>
      <c r="I153" s="14">
        <v>526.78</v>
      </c>
      <c r="J153" s="14">
        <v>386.16999999999996</v>
      </c>
      <c r="K153" s="12">
        <v>41</v>
      </c>
      <c r="L153" s="13">
        <f>'Таблица 2, 3 виды ремонта'!C144</f>
        <v>250000</v>
      </c>
      <c r="M153" s="14">
        <v>0</v>
      </c>
      <c r="N153" s="14">
        <v>0</v>
      </c>
      <c r="O153" s="14">
        <v>0</v>
      </c>
      <c r="P153" s="13">
        <f t="shared" si="2"/>
        <v>250000</v>
      </c>
      <c r="Q153" s="15" t="s">
        <v>602</v>
      </c>
    </row>
    <row r="154" spans="1:17" s="18" customFormat="1" ht="21.75" customHeight="1">
      <c r="A154" s="12" t="s">
        <v>146</v>
      </c>
      <c r="B154" s="10" t="s">
        <v>460</v>
      </c>
      <c r="C154" s="11">
        <v>1917</v>
      </c>
      <c r="D154" s="12" t="s">
        <v>87</v>
      </c>
      <c r="E154" s="11" t="s">
        <v>89</v>
      </c>
      <c r="F154" s="11">
        <v>2</v>
      </c>
      <c r="G154" s="11">
        <v>1</v>
      </c>
      <c r="H154" s="13">
        <v>198</v>
      </c>
      <c r="I154" s="13">
        <v>161</v>
      </c>
      <c r="J154" s="13">
        <v>131.95</v>
      </c>
      <c r="K154" s="36">
        <v>22</v>
      </c>
      <c r="L154" s="13">
        <f>'Таблица 2, 3 виды ремонта'!C145</f>
        <v>392234.36</v>
      </c>
      <c r="M154" s="14">
        <v>0</v>
      </c>
      <c r="N154" s="14">
        <v>0</v>
      </c>
      <c r="O154" s="14">
        <v>0</v>
      </c>
      <c r="P154" s="13">
        <f t="shared" si="2"/>
        <v>392234.36</v>
      </c>
      <c r="Q154" s="15" t="s">
        <v>99</v>
      </c>
    </row>
    <row r="155" spans="1:17" s="18" customFormat="1" ht="21.75" customHeight="1">
      <c r="A155" s="12" t="s">
        <v>591</v>
      </c>
      <c r="B155" s="17" t="s">
        <v>310</v>
      </c>
      <c r="C155" s="12">
        <v>1917</v>
      </c>
      <c r="D155" s="12" t="s">
        <v>87</v>
      </c>
      <c r="E155" s="12" t="s">
        <v>100</v>
      </c>
      <c r="F155" s="12">
        <v>2</v>
      </c>
      <c r="G155" s="12">
        <v>1</v>
      </c>
      <c r="H155" s="14">
        <v>209.26</v>
      </c>
      <c r="I155" s="14">
        <v>174.34</v>
      </c>
      <c r="J155" s="14">
        <v>46.43000000000001</v>
      </c>
      <c r="K155" s="12">
        <v>27</v>
      </c>
      <c r="L155" s="13">
        <f>'Таблица 2, 3 виды ремонта'!C146</f>
        <v>250000</v>
      </c>
      <c r="M155" s="14">
        <v>0</v>
      </c>
      <c r="N155" s="14">
        <v>0</v>
      </c>
      <c r="O155" s="14">
        <v>0</v>
      </c>
      <c r="P155" s="13">
        <f t="shared" si="2"/>
        <v>250000</v>
      </c>
      <c r="Q155" s="15" t="s">
        <v>602</v>
      </c>
    </row>
    <row r="156" spans="1:17" s="18" customFormat="1" ht="21.75" customHeight="1">
      <c r="A156" s="12" t="s">
        <v>147</v>
      </c>
      <c r="B156" s="10" t="s">
        <v>461</v>
      </c>
      <c r="C156" s="11">
        <v>1917</v>
      </c>
      <c r="D156" s="12" t="s">
        <v>87</v>
      </c>
      <c r="E156" s="11" t="s">
        <v>100</v>
      </c>
      <c r="F156" s="11">
        <v>1</v>
      </c>
      <c r="G156" s="11">
        <v>3</v>
      </c>
      <c r="H156" s="13">
        <v>1770.01</v>
      </c>
      <c r="I156" s="13">
        <v>1427.2</v>
      </c>
      <c r="J156" s="13">
        <v>558.15</v>
      </c>
      <c r="K156" s="36">
        <v>29</v>
      </c>
      <c r="L156" s="13">
        <f>'Таблица 2, 3 виды ремонта'!C147</f>
        <v>350000</v>
      </c>
      <c r="M156" s="14">
        <v>0</v>
      </c>
      <c r="N156" s="14">
        <v>0</v>
      </c>
      <c r="O156" s="14">
        <v>0</v>
      </c>
      <c r="P156" s="13">
        <f t="shared" si="2"/>
        <v>350000</v>
      </c>
      <c r="Q156" s="15" t="s">
        <v>602</v>
      </c>
    </row>
    <row r="157" spans="1:17" s="18" customFormat="1" ht="21.75" customHeight="1">
      <c r="A157" s="12" t="s">
        <v>331</v>
      </c>
      <c r="B157" s="17" t="s">
        <v>311</v>
      </c>
      <c r="C157" s="12">
        <v>1917</v>
      </c>
      <c r="D157" s="12" t="s">
        <v>87</v>
      </c>
      <c r="E157" s="12" t="s">
        <v>89</v>
      </c>
      <c r="F157" s="12">
        <v>2</v>
      </c>
      <c r="G157" s="12">
        <v>2</v>
      </c>
      <c r="H157" s="14">
        <v>819.1</v>
      </c>
      <c r="I157" s="14">
        <v>604.3</v>
      </c>
      <c r="J157" s="14">
        <v>444.29999999999995</v>
      </c>
      <c r="K157" s="12">
        <v>50</v>
      </c>
      <c r="L157" s="13">
        <f>'Таблица 2, 3 виды ремонта'!C148</f>
        <v>250000</v>
      </c>
      <c r="M157" s="14">
        <v>0</v>
      </c>
      <c r="N157" s="14">
        <v>0</v>
      </c>
      <c r="O157" s="14">
        <v>0</v>
      </c>
      <c r="P157" s="13">
        <f t="shared" si="2"/>
        <v>250000</v>
      </c>
      <c r="Q157" s="15" t="s">
        <v>602</v>
      </c>
    </row>
    <row r="158" spans="1:17" s="18" customFormat="1" ht="21.75" customHeight="1">
      <c r="A158" s="12" t="s">
        <v>148</v>
      </c>
      <c r="B158" s="10" t="s">
        <v>462</v>
      </c>
      <c r="C158" s="11">
        <v>1932</v>
      </c>
      <c r="D158" s="12" t="s">
        <v>87</v>
      </c>
      <c r="E158" s="11" t="s">
        <v>89</v>
      </c>
      <c r="F158" s="11">
        <v>3</v>
      </c>
      <c r="G158" s="11">
        <v>5</v>
      </c>
      <c r="H158" s="13">
        <v>1828.9</v>
      </c>
      <c r="I158" s="13">
        <f>1369.84+240.5</f>
        <v>1610.34</v>
      </c>
      <c r="J158" s="13">
        <v>1144.34</v>
      </c>
      <c r="K158" s="36">
        <v>55</v>
      </c>
      <c r="L158" s="13">
        <f>'Таблица 2, 3 виды ремонта'!C149</f>
        <v>1314035</v>
      </c>
      <c r="M158" s="14">
        <v>0</v>
      </c>
      <c r="N158" s="14">
        <v>0</v>
      </c>
      <c r="O158" s="14">
        <v>0</v>
      </c>
      <c r="P158" s="13">
        <f t="shared" si="2"/>
        <v>1314035</v>
      </c>
      <c r="Q158" s="15" t="s">
        <v>602</v>
      </c>
    </row>
    <row r="159" spans="1:17" s="18" customFormat="1" ht="21.75" customHeight="1">
      <c r="A159" s="12" t="s">
        <v>611</v>
      </c>
      <c r="B159" s="17" t="s">
        <v>312</v>
      </c>
      <c r="C159" s="12">
        <v>1917</v>
      </c>
      <c r="D159" s="12" t="s">
        <v>87</v>
      </c>
      <c r="E159" s="12" t="s">
        <v>89</v>
      </c>
      <c r="F159" s="12">
        <v>1</v>
      </c>
      <c r="G159" s="12">
        <v>2</v>
      </c>
      <c r="H159" s="14">
        <v>160.5</v>
      </c>
      <c r="I159" s="14">
        <v>136.9</v>
      </c>
      <c r="J159" s="14">
        <v>36.900000000000006</v>
      </c>
      <c r="K159" s="12">
        <v>12</v>
      </c>
      <c r="L159" s="13">
        <f>'Таблица 2, 3 виды ремонта'!C150</f>
        <v>250000</v>
      </c>
      <c r="M159" s="14">
        <v>0</v>
      </c>
      <c r="N159" s="14">
        <v>0</v>
      </c>
      <c r="O159" s="14">
        <v>0</v>
      </c>
      <c r="P159" s="13">
        <f t="shared" si="2"/>
        <v>250000</v>
      </c>
      <c r="Q159" s="15" t="s">
        <v>602</v>
      </c>
    </row>
    <row r="160" spans="1:17" s="18" customFormat="1" ht="21.75" customHeight="1">
      <c r="A160" s="12" t="s">
        <v>149</v>
      </c>
      <c r="B160" s="10" t="s">
        <v>463</v>
      </c>
      <c r="C160" s="11">
        <v>1957</v>
      </c>
      <c r="D160" s="12" t="s">
        <v>87</v>
      </c>
      <c r="E160" s="11" t="s">
        <v>89</v>
      </c>
      <c r="F160" s="11">
        <v>3</v>
      </c>
      <c r="G160" s="11">
        <v>3</v>
      </c>
      <c r="H160" s="13">
        <v>1959.51</v>
      </c>
      <c r="I160" s="13">
        <f>1639.71+319.8</f>
        <v>1959.51</v>
      </c>
      <c r="J160" s="13">
        <v>1260.76</v>
      </c>
      <c r="K160" s="36">
        <v>90</v>
      </c>
      <c r="L160" s="13">
        <f>'Таблица 2, 3 виды ремонта'!C151</f>
        <v>47277.88</v>
      </c>
      <c r="M160" s="14">
        <v>0</v>
      </c>
      <c r="N160" s="14">
        <v>0</v>
      </c>
      <c r="O160" s="14">
        <v>0</v>
      </c>
      <c r="P160" s="13">
        <f t="shared" si="2"/>
        <v>47277.88</v>
      </c>
      <c r="Q160" s="15" t="s">
        <v>99</v>
      </c>
    </row>
    <row r="161" spans="1:17" s="18" customFormat="1" ht="21.75" customHeight="1">
      <c r="A161" s="12" t="s">
        <v>150</v>
      </c>
      <c r="B161" s="17" t="s">
        <v>313</v>
      </c>
      <c r="C161" s="12">
        <v>1878</v>
      </c>
      <c r="D161" s="12" t="s">
        <v>87</v>
      </c>
      <c r="E161" s="12" t="s">
        <v>89</v>
      </c>
      <c r="F161" s="12">
        <v>2</v>
      </c>
      <c r="G161" s="12">
        <v>1</v>
      </c>
      <c r="H161" s="14">
        <v>550.16</v>
      </c>
      <c r="I161" s="14">
        <v>547.8</v>
      </c>
      <c r="J161" s="14">
        <v>397.79999999999995</v>
      </c>
      <c r="K161" s="12">
        <v>49</v>
      </c>
      <c r="L161" s="13">
        <f>'Таблица 2, 3 виды ремонта'!C152</f>
        <v>250000</v>
      </c>
      <c r="M161" s="14">
        <v>0</v>
      </c>
      <c r="N161" s="14">
        <v>0</v>
      </c>
      <c r="O161" s="14">
        <v>0</v>
      </c>
      <c r="P161" s="13">
        <f t="shared" si="2"/>
        <v>250000</v>
      </c>
      <c r="Q161" s="15" t="s">
        <v>602</v>
      </c>
    </row>
    <row r="162" spans="1:17" s="18" customFormat="1" ht="21.75" customHeight="1">
      <c r="A162" s="12" t="s">
        <v>151</v>
      </c>
      <c r="B162" s="17" t="s">
        <v>314</v>
      </c>
      <c r="C162" s="12">
        <v>1917</v>
      </c>
      <c r="D162" s="12" t="s">
        <v>87</v>
      </c>
      <c r="E162" s="12" t="s">
        <v>100</v>
      </c>
      <c r="F162" s="12">
        <v>2</v>
      </c>
      <c r="G162" s="12">
        <v>1</v>
      </c>
      <c r="H162" s="14">
        <v>539.82</v>
      </c>
      <c r="I162" s="14">
        <v>539.82</v>
      </c>
      <c r="J162" s="14">
        <v>445.62000000000006</v>
      </c>
      <c r="K162" s="12">
        <v>17</v>
      </c>
      <c r="L162" s="13">
        <f>'Таблица 2, 3 виды ремонта'!C153</f>
        <v>250000</v>
      </c>
      <c r="M162" s="14">
        <v>0</v>
      </c>
      <c r="N162" s="14">
        <v>0</v>
      </c>
      <c r="O162" s="14">
        <v>0</v>
      </c>
      <c r="P162" s="13">
        <f t="shared" si="2"/>
        <v>250000</v>
      </c>
      <c r="Q162" s="15" t="s">
        <v>602</v>
      </c>
    </row>
    <row r="163" spans="1:17" s="18" customFormat="1" ht="21.75" customHeight="1">
      <c r="A163" s="12" t="s">
        <v>152</v>
      </c>
      <c r="B163" s="17" t="s">
        <v>315</v>
      </c>
      <c r="C163" s="12">
        <v>1917</v>
      </c>
      <c r="D163" s="12" t="s">
        <v>87</v>
      </c>
      <c r="E163" s="12" t="s">
        <v>100</v>
      </c>
      <c r="F163" s="12">
        <v>1</v>
      </c>
      <c r="G163" s="12">
        <v>2</v>
      </c>
      <c r="H163" s="14">
        <v>434.14</v>
      </c>
      <c r="I163" s="14">
        <v>434.14</v>
      </c>
      <c r="J163" s="14">
        <v>178.14</v>
      </c>
      <c r="K163" s="12">
        <v>20</v>
      </c>
      <c r="L163" s="13">
        <f>'Таблица 2, 3 виды ремонта'!C154</f>
        <v>250000</v>
      </c>
      <c r="M163" s="14">
        <v>0</v>
      </c>
      <c r="N163" s="14">
        <v>0</v>
      </c>
      <c r="O163" s="14">
        <v>0</v>
      </c>
      <c r="P163" s="13">
        <f t="shared" si="2"/>
        <v>250000</v>
      </c>
      <c r="Q163" s="15" t="s">
        <v>602</v>
      </c>
    </row>
    <row r="164" spans="1:17" s="18" customFormat="1" ht="21.75" customHeight="1">
      <c r="A164" s="12" t="s">
        <v>152</v>
      </c>
      <c r="B164" s="10" t="s">
        <v>464</v>
      </c>
      <c r="C164" s="11">
        <v>1917</v>
      </c>
      <c r="D164" s="12" t="s">
        <v>87</v>
      </c>
      <c r="E164" s="11" t="s">
        <v>89</v>
      </c>
      <c r="F164" s="11">
        <v>1</v>
      </c>
      <c r="G164" s="11">
        <v>2</v>
      </c>
      <c r="H164" s="13">
        <v>555.2</v>
      </c>
      <c r="I164" s="13">
        <v>142.1</v>
      </c>
      <c r="J164" s="13">
        <v>38.379999999999995</v>
      </c>
      <c r="K164" s="36">
        <v>17</v>
      </c>
      <c r="L164" s="13">
        <f>'Таблица 2, 3 виды ремонта'!C155</f>
        <v>2376250</v>
      </c>
      <c r="M164" s="14">
        <v>0</v>
      </c>
      <c r="N164" s="14">
        <v>0</v>
      </c>
      <c r="O164" s="14">
        <v>0</v>
      </c>
      <c r="P164" s="13">
        <f t="shared" si="2"/>
        <v>2376250</v>
      </c>
      <c r="Q164" s="15" t="s">
        <v>602</v>
      </c>
    </row>
    <row r="165" spans="1:17" s="18" customFormat="1" ht="21.75" customHeight="1">
      <c r="A165" s="12" t="s">
        <v>153</v>
      </c>
      <c r="B165" s="10" t="s">
        <v>465</v>
      </c>
      <c r="C165" s="11">
        <v>1917</v>
      </c>
      <c r="D165" s="12" t="s">
        <v>87</v>
      </c>
      <c r="E165" s="11" t="s">
        <v>100</v>
      </c>
      <c r="F165" s="11">
        <v>2</v>
      </c>
      <c r="G165" s="11">
        <v>5</v>
      </c>
      <c r="H165" s="13">
        <v>601.2</v>
      </c>
      <c r="I165" s="13">
        <v>427.1</v>
      </c>
      <c r="J165" s="13">
        <v>427.1</v>
      </c>
      <c r="K165" s="36">
        <v>35</v>
      </c>
      <c r="L165" s="13">
        <f>'Таблица 2, 3 виды ремонта'!C156</f>
        <v>1242050</v>
      </c>
      <c r="M165" s="14">
        <v>0</v>
      </c>
      <c r="N165" s="14">
        <v>0</v>
      </c>
      <c r="O165" s="14">
        <v>0</v>
      </c>
      <c r="P165" s="13">
        <f t="shared" si="2"/>
        <v>1242050</v>
      </c>
      <c r="Q165" s="15" t="s">
        <v>602</v>
      </c>
    </row>
    <row r="166" spans="1:17" s="18" customFormat="1" ht="21.75" customHeight="1">
      <c r="A166" s="12" t="s">
        <v>154</v>
      </c>
      <c r="B166" s="10" t="s">
        <v>466</v>
      </c>
      <c r="C166" s="11">
        <v>1917</v>
      </c>
      <c r="D166" s="12" t="s">
        <v>87</v>
      </c>
      <c r="E166" s="11" t="s">
        <v>100</v>
      </c>
      <c r="F166" s="11">
        <v>2</v>
      </c>
      <c r="G166" s="11">
        <v>1</v>
      </c>
      <c r="H166" s="13">
        <v>742.61</v>
      </c>
      <c r="I166" s="13">
        <f>552.61+190</f>
        <v>742.61</v>
      </c>
      <c r="J166" s="13">
        <v>552.61</v>
      </c>
      <c r="K166" s="36">
        <v>13</v>
      </c>
      <c r="L166" s="13">
        <f>'Таблица 2, 3 виды ремонта'!C157</f>
        <v>2568858</v>
      </c>
      <c r="M166" s="14">
        <v>0</v>
      </c>
      <c r="N166" s="14">
        <v>0</v>
      </c>
      <c r="O166" s="14">
        <v>0</v>
      </c>
      <c r="P166" s="13">
        <f t="shared" si="2"/>
        <v>2568858</v>
      </c>
      <c r="Q166" s="15" t="s">
        <v>602</v>
      </c>
    </row>
    <row r="167" spans="1:17" s="18" customFormat="1" ht="21.75" customHeight="1">
      <c r="A167" s="12" t="s">
        <v>155</v>
      </c>
      <c r="B167" s="10" t="s">
        <v>467</v>
      </c>
      <c r="C167" s="11">
        <v>1917</v>
      </c>
      <c r="D167" s="12" t="s">
        <v>87</v>
      </c>
      <c r="E167" s="11" t="s">
        <v>100</v>
      </c>
      <c r="F167" s="11">
        <v>2</v>
      </c>
      <c r="G167" s="11">
        <v>5</v>
      </c>
      <c r="H167" s="13">
        <v>939</v>
      </c>
      <c r="I167" s="13">
        <v>588.3</v>
      </c>
      <c r="J167" s="13">
        <v>454.6</v>
      </c>
      <c r="K167" s="36">
        <v>36</v>
      </c>
      <c r="L167" s="13">
        <f>'Таблица 2, 3 виды ремонта'!C158</f>
        <v>1731170</v>
      </c>
      <c r="M167" s="14">
        <v>0</v>
      </c>
      <c r="N167" s="14">
        <v>0</v>
      </c>
      <c r="O167" s="14">
        <v>0</v>
      </c>
      <c r="P167" s="13">
        <f t="shared" si="2"/>
        <v>1731170</v>
      </c>
      <c r="Q167" s="15" t="s">
        <v>602</v>
      </c>
    </row>
    <row r="168" spans="1:17" s="18" customFormat="1" ht="21.75" customHeight="1">
      <c r="A168" s="12" t="s">
        <v>156</v>
      </c>
      <c r="B168" s="16" t="s">
        <v>468</v>
      </c>
      <c r="C168" s="11">
        <v>1981</v>
      </c>
      <c r="D168" s="12" t="s">
        <v>87</v>
      </c>
      <c r="E168" s="11" t="s">
        <v>88</v>
      </c>
      <c r="F168" s="11">
        <v>5</v>
      </c>
      <c r="G168" s="11">
        <v>4</v>
      </c>
      <c r="H168" s="13">
        <v>3747.5</v>
      </c>
      <c r="I168" s="13">
        <v>2859.3</v>
      </c>
      <c r="J168" s="13">
        <v>2240.8</v>
      </c>
      <c r="K168" s="36">
        <v>160</v>
      </c>
      <c r="L168" s="13">
        <f>'Таблица 2, 3 виды ремонта'!C159</f>
        <v>1054761.42</v>
      </c>
      <c r="M168" s="14">
        <v>0</v>
      </c>
      <c r="N168" s="14">
        <v>0</v>
      </c>
      <c r="O168" s="14">
        <v>0</v>
      </c>
      <c r="P168" s="13">
        <f t="shared" si="2"/>
        <v>1054761.42</v>
      </c>
      <c r="Q168" s="15" t="s">
        <v>602</v>
      </c>
    </row>
    <row r="169" spans="1:17" s="18" customFormat="1" ht="21.75" customHeight="1">
      <c r="A169" s="12" t="s">
        <v>157</v>
      </c>
      <c r="B169" s="16" t="s">
        <v>469</v>
      </c>
      <c r="C169" s="11">
        <v>1981</v>
      </c>
      <c r="D169" s="12" t="s">
        <v>87</v>
      </c>
      <c r="E169" s="11" t="s">
        <v>88</v>
      </c>
      <c r="F169" s="11">
        <v>5</v>
      </c>
      <c r="G169" s="11">
        <v>4</v>
      </c>
      <c r="H169" s="13">
        <v>3923.19</v>
      </c>
      <c r="I169" s="13">
        <v>2707.95</v>
      </c>
      <c r="J169" s="13">
        <v>2529.7799999999997</v>
      </c>
      <c r="K169" s="36">
        <v>129</v>
      </c>
      <c r="L169" s="13">
        <f>'Таблица 2, 3 виды ремонта'!C160</f>
        <v>354922.63</v>
      </c>
      <c r="M169" s="14">
        <v>0</v>
      </c>
      <c r="N169" s="14">
        <v>0</v>
      </c>
      <c r="O169" s="14">
        <v>0</v>
      </c>
      <c r="P169" s="13">
        <f t="shared" si="2"/>
        <v>354922.63</v>
      </c>
      <c r="Q169" s="15" t="s">
        <v>99</v>
      </c>
    </row>
    <row r="170" spans="1:17" s="18" customFormat="1" ht="21.75" customHeight="1">
      <c r="A170" s="12" t="s">
        <v>158</v>
      </c>
      <c r="B170" s="10" t="s">
        <v>470</v>
      </c>
      <c r="C170" s="11">
        <v>1975</v>
      </c>
      <c r="D170" s="12" t="s">
        <v>87</v>
      </c>
      <c r="E170" s="11" t="s">
        <v>89</v>
      </c>
      <c r="F170" s="11">
        <v>9</v>
      </c>
      <c r="G170" s="11">
        <v>1</v>
      </c>
      <c r="H170" s="13">
        <v>3420.2</v>
      </c>
      <c r="I170" s="13">
        <f>2161.3+567.7</f>
        <v>2729</v>
      </c>
      <c r="J170" s="13">
        <v>2015.1000000000001</v>
      </c>
      <c r="K170" s="36">
        <v>84</v>
      </c>
      <c r="L170" s="13">
        <f>'Таблица 2, 3 виды ремонта'!C161</f>
        <v>412928</v>
      </c>
      <c r="M170" s="14">
        <v>0</v>
      </c>
      <c r="N170" s="14">
        <v>0</v>
      </c>
      <c r="O170" s="14">
        <v>0</v>
      </c>
      <c r="P170" s="13">
        <f t="shared" si="2"/>
        <v>412928</v>
      </c>
      <c r="Q170" s="15" t="s">
        <v>99</v>
      </c>
    </row>
    <row r="171" spans="1:17" s="18" customFormat="1" ht="21.75" customHeight="1">
      <c r="A171" s="12" t="s">
        <v>159</v>
      </c>
      <c r="B171" s="10" t="s">
        <v>471</v>
      </c>
      <c r="C171" s="11">
        <v>1967</v>
      </c>
      <c r="D171" s="12" t="s">
        <v>87</v>
      </c>
      <c r="E171" s="11" t="s">
        <v>89</v>
      </c>
      <c r="F171" s="11">
        <v>5</v>
      </c>
      <c r="G171" s="11">
        <v>4</v>
      </c>
      <c r="H171" s="13">
        <v>4076.26</v>
      </c>
      <c r="I171" s="13">
        <f>2575.46+613.6</f>
        <v>3189.06</v>
      </c>
      <c r="J171" s="13">
        <v>2090.36</v>
      </c>
      <c r="K171" s="36">
        <v>123</v>
      </c>
      <c r="L171" s="13">
        <f>'Таблица 2, 3 виды ремонта'!C162</f>
        <v>963628</v>
      </c>
      <c r="M171" s="14">
        <v>0</v>
      </c>
      <c r="N171" s="14">
        <v>0</v>
      </c>
      <c r="O171" s="14">
        <v>0</v>
      </c>
      <c r="P171" s="13">
        <f t="shared" si="2"/>
        <v>963628</v>
      </c>
      <c r="Q171" s="15" t="s">
        <v>99</v>
      </c>
    </row>
    <row r="172" spans="1:17" s="18" customFormat="1" ht="21.75" customHeight="1">
      <c r="A172" s="12" t="s">
        <v>160</v>
      </c>
      <c r="B172" s="10" t="s">
        <v>472</v>
      </c>
      <c r="C172" s="11">
        <v>1961</v>
      </c>
      <c r="D172" s="12" t="s">
        <v>87</v>
      </c>
      <c r="E172" s="11" t="s">
        <v>89</v>
      </c>
      <c r="F172" s="11">
        <v>5</v>
      </c>
      <c r="G172" s="11">
        <v>4</v>
      </c>
      <c r="H172" s="13">
        <v>3144.9</v>
      </c>
      <c r="I172" s="13">
        <f>2191.6+73.6</f>
        <v>2265.2</v>
      </c>
      <c r="J172" s="13">
        <v>2191.6</v>
      </c>
      <c r="K172" s="36">
        <v>163</v>
      </c>
      <c r="L172" s="13">
        <f>'Таблица 2, 3 виды ремонта'!C163</f>
        <v>813484</v>
      </c>
      <c r="M172" s="14">
        <v>0</v>
      </c>
      <c r="N172" s="14">
        <v>0</v>
      </c>
      <c r="O172" s="14">
        <v>0</v>
      </c>
      <c r="P172" s="13">
        <f t="shared" si="2"/>
        <v>813484</v>
      </c>
      <c r="Q172" s="15" t="s">
        <v>602</v>
      </c>
    </row>
    <row r="173" spans="1:17" s="18" customFormat="1" ht="21.75" customHeight="1">
      <c r="A173" s="12" t="s">
        <v>161</v>
      </c>
      <c r="B173" s="17" t="s">
        <v>316</v>
      </c>
      <c r="C173" s="12">
        <v>1917</v>
      </c>
      <c r="D173" s="12" t="s">
        <v>87</v>
      </c>
      <c r="E173" s="12" t="s">
        <v>100</v>
      </c>
      <c r="F173" s="12">
        <v>2</v>
      </c>
      <c r="G173" s="12">
        <v>1</v>
      </c>
      <c r="H173" s="14">
        <v>348.35</v>
      </c>
      <c r="I173" s="14">
        <v>299.95</v>
      </c>
      <c r="J173" s="14">
        <v>263.98</v>
      </c>
      <c r="K173" s="12">
        <v>34</v>
      </c>
      <c r="L173" s="13">
        <f>'Таблица 2, 3 виды ремонта'!C164</f>
        <v>250000</v>
      </c>
      <c r="M173" s="14">
        <v>0</v>
      </c>
      <c r="N173" s="14">
        <v>0</v>
      </c>
      <c r="O173" s="14">
        <v>0</v>
      </c>
      <c r="P173" s="13">
        <f t="shared" si="2"/>
        <v>250000</v>
      </c>
      <c r="Q173" s="15" t="s">
        <v>602</v>
      </c>
    </row>
    <row r="174" spans="1:17" s="18" customFormat="1" ht="21.75" customHeight="1">
      <c r="A174" s="12" t="s">
        <v>332</v>
      </c>
      <c r="B174" s="10" t="s">
        <v>473</v>
      </c>
      <c r="C174" s="11">
        <v>1973</v>
      </c>
      <c r="D174" s="12" t="s">
        <v>87</v>
      </c>
      <c r="E174" s="11" t="s">
        <v>89</v>
      </c>
      <c r="F174" s="11">
        <v>6</v>
      </c>
      <c r="G174" s="11">
        <v>6</v>
      </c>
      <c r="H174" s="13">
        <v>5907.86</v>
      </c>
      <c r="I174" s="13">
        <f>5287.56+80.5</f>
        <v>5368.06</v>
      </c>
      <c r="J174" s="13">
        <v>4747.76</v>
      </c>
      <c r="K174" s="36">
        <v>238</v>
      </c>
      <c r="L174" s="13">
        <f>'Таблица 2, 3 виды ремонта'!C165</f>
        <v>1922240</v>
      </c>
      <c r="M174" s="14">
        <v>0</v>
      </c>
      <c r="N174" s="14">
        <v>0</v>
      </c>
      <c r="O174" s="14">
        <v>0</v>
      </c>
      <c r="P174" s="13">
        <f t="shared" si="2"/>
        <v>1922240</v>
      </c>
      <c r="Q174" s="15" t="s">
        <v>602</v>
      </c>
    </row>
    <row r="175" spans="1:17" s="18" customFormat="1" ht="21.75" customHeight="1">
      <c r="A175" s="12" t="s">
        <v>205</v>
      </c>
      <c r="B175" s="10" t="s">
        <v>474</v>
      </c>
      <c r="C175" s="11">
        <v>1938</v>
      </c>
      <c r="D175" s="12" t="s">
        <v>87</v>
      </c>
      <c r="E175" s="11" t="s">
        <v>89</v>
      </c>
      <c r="F175" s="11">
        <v>5</v>
      </c>
      <c r="G175" s="11">
        <v>3</v>
      </c>
      <c r="H175" s="13">
        <v>2666.8</v>
      </c>
      <c r="I175" s="13">
        <v>1527.95</v>
      </c>
      <c r="J175" s="13">
        <v>1527.95</v>
      </c>
      <c r="K175" s="36">
        <v>55</v>
      </c>
      <c r="L175" s="13">
        <f>'Таблица 2, 3 виды ремонта'!C166</f>
        <v>959580</v>
      </c>
      <c r="M175" s="14">
        <v>0</v>
      </c>
      <c r="N175" s="14">
        <v>0</v>
      </c>
      <c r="O175" s="14">
        <v>0</v>
      </c>
      <c r="P175" s="13">
        <f t="shared" si="2"/>
        <v>959580</v>
      </c>
      <c r="Q175" s="15" t="s">
        <v>602</v>
      </c>
    </row>
    <row r="176" spans="1:17" s="18" customFormat="1" ht="21.75" customHeight="1">
      <c r="A176" s="12" t="s">
        <v>206</v>
      </c>
      <c r="B176" s="10" t="s">
        <v>475</v>
      </c>
      <c r="C176" s="11">
        <v>1950</v>
      </c>
      <c r="D176" s="12" t="s">
        <v>87</v>
      </c>
      <c r="E176" s="11" t="s">
        <v>89</v>
      </c>
      <c r="F176" s="11">
        <v>3</v>
      </c>
      <c r="G176" s="11">
        <v>2</v>
      </c>
      <c r="H176" s="13">
        <v>1618.4</v>
      </c>
      <c r="I176" s="13">
        <v>1455.28</v>
      </c>
      <c r="J176" s="13">
        <v>1301.9099999999999</v>
      </c>
      <c r="K176" s="36">
        <v>111</v>
      </c>
      <c r="L176" s="13">
        <f>'Таблица 2, 3 виды ремонта'!C167</f>
        <v>2026313.02</v>
      </c>
      <c r="M176" s="14">
        <v>0</v>
      </c>
      <c r="N176" s="14">
        <v>0</v>
      </c>
      <c r="O176" s="14">
        <v>0</v>
      </c>
      <c r="P176" s="13">
        <f t="shared" si="2"/>
        <v>2026313.02</v>
      </c>
      <c r="Q176" s="15" t="s">
        <v>602</v>
      </c>
    </row>
    <row r="177" spans="1:17" s="18" customFormat="1" ht="21.75" customHeight="1">
      <c r="A177" s="12" t="s">
        <v>207</v>
      </c>
      <c r="B177" s="39" t="s">
        <v>317</v>
      </c>
      <c r="C177" s="12">
        <v>1917</v>
      </c>
      <c r="D177" s="12" t="s">
        <v>87</v>
      </c>
      <c r="E177" s="12" t="s">
        <v>89</v>
      </c>
      <c r="F177" s="12">
        <v>3</v>
      </c>
      <c r="G177" s="12">
        <v>7</v>
      </c>
      <c r="H177" s="14">
        <v>512</v>
      </c>
      <c r="I177" s="14">
        <v>189</v>
      </c>
      <c r="J177" s="14">
        <v>129</v>
      </c>
      <c r="K177" s="12">
        <v>16</v>
      </c>
      <c r="L177" s="13">
        <f>'Таблица 2, 3 виды ремонта'!C168</f>
        <v>250000</v>
      </c>
      <c r="M177" s="14">
        <v>0</v>
      </c>
      <c r="N177" s="14">
        <v>0</v>
      </c>
      <c r="O177" s="14">
        <v>0</v>
      </c>
      <c r="P177" s="13">
        <f t="shared" si="2"/>
        <v>250000</v>
      </c>
      <c r="Q177" s="15" t="s">
        <v>602</v>
      </c>
    </row>
    <row r="178" spans="1:17" s="18" customFormat="1" ht="21.75" customHeight="1">
      <c r="A178" s="12" t="s">
        <v>208</v>
      </c>
      <c r="B178" s="10" t="s">
        <v>476</v>
      </c>
      <c r="C178" s="11">
        <v>1968</v>
      </c>
      <c r="D178" s="12" t="s">
        <v>87</v>
      </c>
      <c r="E178" s="11" t="s">
        <v>89</v>
      </c>
      <c r="F178" s="11">
        <v>5</v>
      </c>
      <c r="G178" s="11">
        <v>4</v>
      </c>
      <c r="H178" s="13">
        <v>3660.1</v>
      </c>
      <c r="I178" s="13">
        <v>3368.1</v>
      </c>
      <c r="J178" s="13">
        <v>3291.94</v>
      </c>
      <c r="K178" s="36">
        <v>163</v>
      </c>
      <c r="L178" s="13">
        <f>'Таблица 2, 3 виды ремонта'!C169</f>
        <v>1788148</v>
      </c>
      <c r="M178" s="14">
        <v>0</v>
      </c>
      <c r="N178" s="14">
        <v>0</v>
      </c>
      <c r="O178" s="14">
        <v>0</v>
      </c>
      <c r="P178" s="13">
        <f t="shared" si="2"/>
        <v>1788148</v>
      </c>
      <c r="Q178" s="15" t="s">
        <v>602</v>
      </c>
    </row>
    <row r="179" spans="1:17" s="18" customFormat="1" ht="21.75" customHeight="1">
      <c r="A179" s="12" t="s">
        <v>209</v>
      </c>
      <c r="B179" s="10" t="s">
        <v>477</v>
      </c>
      <c r="C179" s="11">
        <v>1967</v>
      </c>
      <c r="D179" s="12" t="s">
        <v>87</v>
      </c>
      <c r="E179" s="11" t="s">
        <v>88</v>
      </c>
      <c r="F179" s="11">
        <v>5</v>
      </c>
      <c r="G179" s="11">
        <v>6</v>
      </c>
      <c r="H179" s="13">
        <v>6293</v>
      </c>
      <c r="I179" s="13">
        <v>3996.61</v>
      </c>
      <c r="J179" s="13">
        <v>3471.98</v>
      </c>
      <c r="K179" s="36">
        <v>209</v>
      </c>
      <c r="L179" s="13">
        <f>'Таблица 2, 3 виды ремонта'!C170</f>
        <v>675997</v>
      </c>
      <c r="M179" s="14">
        <v>0</v>
      </c>
      <c r="N179" s="14">
        <v>0</v>
      </c>
      <c r="O179" s="14">
        <v>0</v>
      </c>
      <c r="P179" s="13">
        <f t="shared" si="2"/>
        <v>675997</v>
      </c>
      <c r="Q179" s="15" t="s">
        <v>99</v>
      </c>
    </row>
    <row r="180" spans="1:17" s="18" customFormat="1" ht="21.75" customHeight="1">
      <c r="A180" s="12" t="s">
        <v>612</v>
      </c>
      <c r="B180" s="16" t="s">
        <v>478</v>
      </c>
      <c r="C180" s="11">
        <v>1985</v>
      </c>
      <c r="D180" s="12" t="s">
        <v>87</v>
      </c>
      <c r="E180" s="11" t="s">
        <v>89</v>
      </c>
      <c r="F180" s="11">
        <v>5</v>
      </c>
      <c r="G180" s="11">
        <v>4</v>
      </c>
      <c r="H180" s="13">
        <v>3310.4</v>
      </c>
      <c r="I180" s="13">
        <v>3117.03</v>
      </c>
      <c r="J180" s="13">
        <v>2949.48</v>
      </c>
      <c r="K180" s="36">
        <v>139</v>
      </c>
      <c r="L180" s="13">
        <f>'Таблица 2, 3 виды ремонта'!C171</f>
        <v>1005310</v>
      </c>
      <c r="M180" s="14">
        <v>0</v>
      </c>
      <c r="N180" s="14">
        <v>0</v>
      </c>
      <c r="O180" s="14">
        <v>0</v>
      </c>
      <c r="P180" s="13">
        <f t="shared" si="2"/>
        <v>1005310</v>
      </c>
      <c r="Q180" s="15" t="s">
        <v>602</v>
      </c>
    </row>
    <row r="181" spans="1:17" s="18" customFormat="1" ht="21.75" customHeight="1">
      <c r="A181" s="12" t="s">
        <v>210</v>
      </c>
      <c r="B181" s="10" t="s">
        <v>479</v>
      </c>
      <c r="C181" s="11">
        <v>1973</v>
      </c>
      <c r="D181" s="12" t="s">
        <v>87</v>
      </c>
      <c r="E181" s="11" t="s">
        <v>89</v>
      </c>
      <c r="F181" s="11">
        <v>9</v>
      </c>
      <c r="G181" s="11">
        <v>3</v>
      </c>
      <c r="H181" s="13">
        <v>6005.7</v>
      </c>
      <c r="I181" s="13">
        <f>5913.3+92.4</f>
        <v>6005.7</v>
      </c>
      <c r="J181" s="13">
        <v>5594.5</v>
      </c>
      <c r="K181" s="36">
        <v>260</v>
      </c>
      <c r="L181" s="13">
        <f>'Таблица 2, 3 виды ремонта'!C172</f>
        <v>4137509.87</v>
      </c>
      <c r="M181" s="14">
        <v>0</v>
      </c>
      <c r="N181" s="14">
        <v>0</v>
      </c>
      <c r="O181" s="14">
        <v>0</v>
      </c>
      <c r="P181" s="13">
        <f t="shared" si="2"/>
        <v>4137509.87</v>
      </c>
      <c r="Q181" s="15" t="s">
        <v>602</v>
      </c>
    </row>
    <row r="182" spans="1:17" s="18" customFormat="1" ht="21.75" customHeight="1">
      <c r="A182" s="12" t="s">
        <v>211</v>
      </c>
      <c r="B182" s="10" t="s">
        <v>480</v>
      </c>
      <c r="C182" s="11">
        <v>1957</v>
      </c>
      <c r="D182" s="12" t="s">
        <v>87</v>
      </c>
      <c r="E182" s="11" t="s">
        <v>89</v>
      </c>
      <c r="F182" s="11">
        <v>2</v>
      </c>
      <c r="G182" s="11">
        <v>2</v>
      </c>
      <c r="H182" s="13">
        <v>422.5</v>
      </c>
      <c r="I182" s="13">
        <v>295.2</v>
      </c>
      <c r="J182" s="13">
        <v>182.2</v>
      </c>
      <c r="K182" s="36">
        <v>15</v>
      </c>
      <c r="L182" s="13">
        <f>'Таблица 2, 3 виды ремонта'!C173</f>
        <v>34385</v>
      </c>
      <c r="M182" s="14">
        <v>0</v>
      </c>
      <c r="N182" s="14">
        <v>0</v>
      </c>
      <c r="O182" s="14">
        <v>0</v>
      </c>
      <c r="P182" s="13">
        <f t="shared" si="2"/>
        <v>34385</v>
      </c>
      <c r="Q182" s="15" t="s">
        <v>602</v>
      </c>
    </row>
    <row r="183" spans="1:17" s="18" customFormat="1" ht="21.75" customHeight="1">
      <c r="A183" s="12" t="s">
        <v>212</v>
      </c>
      <c r="B183" s="10" t="s">
        <v>481</v>
      </c>
      <c r="C183" s="11">
        <v>1956</v>
      </c>
      <c r="D183" s="12" t="s">
        <v>87</v>
      </c>
      <c r="E183" s="11" t="s">
        <v>89</v>
      </c>
      <c r="F183" s="11">
        <v>3</v>
      </c>
      <c r="G183" s="11">
        <v>2</v>
      </c>
      <c r="H183" s="13">
        <v>1009.7</v>
      </c>
      <c r="I183" s="13">
        <f>773+187.7</f>
        <v>960.7</v>
      </c>
      <c r="J183" s="13">
        <v>570</v>
      </c>
      <c r="K183" s="36">
        <v>43</v>
      </c>
      <c r="L183" s="13">
        <f>'Таблица 2, 3 виды ремонта'!C174</f>
        <v>197052</v>
      </c>
      <c r="M183" s="14">
        <v>0</v>
      </c>
      <c r="N183" s="14">
        <v>0</v>
      </c>
      <c r="O183" s="14">
        <v>0</v>
      </c>
      <c r="P183" s="13">
        <f t="shared" si="2"/>
        <v>197052</v>
      </c>
      <c r="Q183" s="15" t="s">
        <v>602</v>
      </c>
    </row>
    <row r="184" spans="1:17" s="18" customFormat="1" ht="21.75" customHeight="1">
      <c r="A184" s="12" t="s">
        <v>613</v>
      </c>
      <c r="B184" s="10" t="s">
        <v>482</v>
      </c>
      <c r="C184" s="11">
        <v>1998</v>
      </c>
      <c r="D184" s="12" t="s">
        <v>87</v>
      </c>
      <c r="E184" s="11" t="s">
        <v>89</v>
      </c>
      <c r="F184" s="11">
        <v>10</v>
      </c>
      <c r="G184" s="11">
        <v>6</v>
      </c>
      <c r="H184" s="13">
        <v>12291.02</v>
      </c>
      <c r="I184" s="13">
        <v>12291.02</v>
      </c>
      <c r="J184" s="13">
        <v>12291.02</v>
      </c>
      <c r="K184" s="36">
        <v>505</v>
      </c>
      <c r="L184" s="13">
        <f>'Таблица 2, 3 виды ремонта'!C175</f>
        <v>1900000</v>
      </c>
      <c r="M184" s="14">
        <v>0</v>
      </c>
      <c r="N184" s="14">
        <v>0</v>
      </c>
      <c r="O184" s="14">
        <v>0</v>
      </c>
      <c r="P184" s="13">
        <f t="shared" si="2"/>
        <v>1900000</v>
      </c>
      <c r="Q184" s="15" t="s">
        <v>602</v>
      </c>
    </row>
    <row r="185" spans="1:17" s="18" customFormat="1" ht="21.75" customHeight="1">
      <c r="A185" s="12" t="s">
        <v>213</v>
      </c>
      <c r="B185" s="10" t="s">
        <v>483</v>
      </c>
      <c r="C185" s="11">
        <v>1917</v>
      </c>
      <c r="D185" s="12" t="s">
        <v>87</v>
      </c>
      <c r="E185" s="11" t="s">
        <v>89</v>
      </c>
      <c r="F185" s="11">
        <v>3</v>
      </c>
      <c r="G185" s="11">
        <v>3</v>
      </c>
      <c r="H185" s="13">
        <v>1362</v>
      </c>
      <c r="I185" s="13">
        <v>1251.28</v>
      </c>
      <c r="J185" s="13">
        <v>1159</v>
      </c>
      <c r="K185" s="36">
        <v>87</v>
      </c>
      <c r="L185" s="13">
        <f>'Таблица 2, 3 виды ремонта'!C176</f>
        <v>1898820</v>
      </c>
      <c r="M185" s="14">
        <v>0</v>
      </c>
      <c r="N185" s="14">
        <v>0</v>
      </c>
      <c r="O185" s="14">
        <v>0</v>
      </c>
      <c r="P185" s="13">
        <f t="shared" si="2"/>
        <v>1898820</v>
      </c>
      <c r="Q185" s="15" t="s">
        <v>602</v>
      </c>
    </row>
    <row r="186" spans="1:17" s="18" customFormat="1" ht="21.75" customHeight="1">
      <c r="A186" s="12" t="s">
        <v>214</v>
      </c>
      <c r="B186" s="17" t="s">
        <v>318</v>
      </c>
      <c r="C186" s="12">
        <v>1912</v>
      </c>
      <c r="D186" s="12" t="s">
        <v>87</v>
      </c>
      <c r="E186" s="12" t="s">
        <v>100</v>
      </c>
      <c r="F186" s="12">
        <v>2</v>
      </c>
      <c r="G186" s="12">
        <v>1</v>
      </c>
      <c r="H186" s="14">
        <v>550.13</v>
      </c>
      <c r="I186" s="14">
        <v>441.71</v>
      </c>
      <c r="J186" s="14">
        <v>298.71999999999997</v>
      </c>
      <c r="K186" s="12">
        <v>25</v>
      </c>
      <c r="L186" s="13">
        <f>'Таблица 2, 3 виды ремонта'!C177</f>
        <v>250000</v>
      </c>
      <c r="M186" s="14">
        <v>0</v>
      </c>
      <c r="N186" s="14">
        <v>0</v>
      </c>
      <c r="O186" s="14">
        <v>0</v>
      </c>
      <c r="P186" s="13">
        <f t="shared" si="2"/>
        <v>250000</v>
      </c>
      <c r="Q186" s="15" t="s">
        <v>602</v>
      </c>
    </row>
    <row r="187" spans="1:17" s="18" customFormat="1" ht="21.75" customHeight="1">
      <c r="A187" s="12" t="s">
        <v>215</v>
      </c>
      <c r="B187" s="20" t="s">
        <v>578</v>
      </c>
      <c r="C187" s="11">
        <v>1962</v>
      </c>
      <c r="D187" s="12" t="s">
        <v>87</v>
      </c>
      <c r="E187" s="11" t="s">
        <v>89</v>
      </c>
      <c r="F187" s="11">
        <v>5</v>
      </c>
      <c r="G187" s="11">
        <v>3</v>
      </c>
      <c r="H187" s="13">
        <v>3415.47</v>
      </c>
      <c r="I187" s="13">
        <f>2107.47+436</f>
        <v>2543.47</v>
      </c>
      <c r="J187" s="13">
        <v>1851.4899999999998</v>
      </c>
      <c r="K187" s="36">
        <v>125</v>
      </c>
      <c r="L187" s="13">
        <f>'Таблица 2, 3 виды ремонта'!C178</f>
        <v>1381276.14</v>
      </c>
      <c r="M187" s="14">
        <v>0</v>
      </c>
      <c r="N187" s="14">
        <v>0</v>
      </c>
      <c r="O187" s="14">
        <v>0</v>
      </c>
      <c r="P187" s="13">
        <f t="shared" si="2"/>
        <v>1381276.14</v>
      </c>
      <c r="Q187" s="15" t="s">
        <v>99</v>
      </c>
    </row>
    <row r="188" spans="1:17" s="18" customFormat="1" ht="21.75" customHeight="1">
      <c r="A188" s="12" t="s">
        <v>216</v>
      </c>
      <c r="B188" s="10" t="s">
        <v>484</v>
      </c>
      <c r="C188" s="11" t="s">
        <v>98</v>
      </c>
      <c r="D188" s="12" t="s">
        <v>87</v>
      </c>
      <c r="E188" s="11" t="s">
        <v>89</v>
      </c>
      <c r="F188" s="11">
        <v>2</v>
      </c>
      <c r="G188" s="11">
        <v>2</v>
      </c>
      <c r="H188" s="13">
        <v>533</v>
      </c>
      <c r="I188" s="13">
        <v>533</v>
      </c>
      <c r="J188" s="13">
        <v>461.09999999999997</v>
      </c>
      <c r="K188" s="36">
        <v>27</v>
      </c>
      <c r="L188" s="13">
        <f>'Таблица 2, 3 виды ремонта'!C179</f>
        <v>700000</v>
      </c>
      <c r="M188" s="14">
        <v>0</v>
      </c>
      <c r="N188" s="14">
        <v>0</v>
      </c>
      <c r="O188" s="14">
        <v>0</v>
      </c>
      <c r="P188" s="13">
        <f t="shared" si="2"/>
        <v>700000</v>
      </c>
      <c r="Q188" s="15" t="s">
        <v>602</v>
      </c>
    </row>
    <row r="189" spans="1:17" s="18" customFormat="1" ht="21.75" customHeight="1">
      <c r="A189" s="12" t="s">
        <v>217</v>
      </c>
      <c r="B189" s="10" t="s">
        <v>485</v>
      </c>
      <c r="C189" s="11">
        <v>1966</v>
      </c>
      <c r="D189" s="12" t="s">
        <v>87</v>
      </c>
      <c r="E189" s="11" t="s">
        <v>88</v>
      </c>
      <c r="F189" s="11">
        <v>5</v>
      </c>
      <c r="G189" s="11">
        <v>4</v>
      </c>
      <c r="H189" s="13">
        <v>4691.3</v>
      </c>
      <c r="I189" s="13">
        <v>3541.8</v>
      </c>
      <c r="J189" s="13">
        <v>3541.8</v>
      </c>
      <c r="K189" s="36">
        <v>175</v>
      </c>
      <c r="L189" s="13">
        <f>'Таблица 2, 3 виды ремонта'!C180</f>
        <v>355000</v>
      </c>
      <c r="M189" s="14">
        <v>0</v>
      </c>
      <c r="N189" s="14">
        <v>0</v>
      </c>
      <c r="O189" s="14">
        <v>0</v>
      </c>
      <c r="P189" s="13">
        <f t="shared" si="2"/>
        <v>355000</v>
      </c>
      <c r="Q189" s="15" t="s">
        <v>602</v>
      </c>
    </row>
    <row r="190" spans="1:17" s="18" customFormat="1" ht="21.75" customHeight="1">
      <c r="A190" s="12" t="s">
        <v>218</v>
      </c>
      <c r="B190" s="17" t="s">
        <v>319</v>
      </c>
      <c r="C190" s="12">
        <v>1917</v>
      </c>
      <c r="D190" s="12" t="s">
        <v>87</v>
      </c>
      <c r="E190" s="12" t="s">
        <v>89</v>
      </c>
      <c r="F190" s="12">
        <v>2</v>
      </c>
      <c r="G190" s="12">
        <v>2</v>
      </c>
      <c r="H190" s="14">
        <v>1250.53</v>
      </c>
      <c r="I190" s="14">
        <v>1250.53</v>
      </c>
      <c r="J190" s="14">
        <v>872</v>
      </c>
      <c r="K190" s="12">
        <v>55</v>
      </c>
      <c r="L190" s="13">
        <f>'Таблица 2, 3 виды ремонта'!C181</f>
        <v>250000</v>
      </c>
      <c r="M190" s="14">
        <v>0</v>
      </c>
      <c r="N190" s="14">
        <v>0</v>
      </c>
      <c r="O190" s="14">
        <v>0</v>
      </c>
      <c r="P190" s="13">
        <f t="shared" si="2"/>
        <v>250000</v>
      </c>
      <c r="Q190" s="15" t="s">
        <v>602</v>
      </c>
    </row>
    <row r="191" spans="1:17" s="18" customFormat="1" ht="21.75" customHeight="1">
      <c r="A191" s="12" t="s">
        <v>219</v>
      </c>
      <c r="B191" s="10" t="s">
        <v>486</v>
      </c>
      <c r="C191" s="11">
        <v>1972</v>
      </c>
      <c r="D191" s="12" t="s">
        <v>87</v>
      </c>
      <c r="E191" s="11" t="s">
        <v>89</v>
      </c>
      <c r="F191" s="11">
        <v>9</v>
      </c>
      <c r="G191" s="11">
        <v>3</v>
      </c>
      <c r="H191" s="13">
        <v>6892.4</v>
      </c>
      <c r="I191" s="13">
        <f>5377.4+768</f>
        <v>6145.4</v>
      </c>
      <c r="J191" s="13">
        <v>5377.4</v>
      </c>
      <c r="K191" s="36">
        <v>311</v>
      </c>
      <c r="L191" s="13">
        <f>'Таблица 2, 3 виды ремонта'!C182</f>
        <v>1300347</v>
      </c>
      <c r="M191" s="14">
        <v>0</v>
      </c>
      <c r="N191" s="14">
        <v>0</v>
      </c>
      <c r="O191" s="14">
        <v>0</v>
      </c>
      <c r="P191" s="13">
        <f t="shared" si="2"/>
        <v>1300347</v>
      </c>
      <c r="Q191" s="15" t="s">
        <v>602</v>
      </c>
    </row>
    <row r="192" spans="1:17" s="18" customFormat="1" ht="21.75" customHeight="1">
      <c r="A192" s="12" t="s">
        <v>592</v>
      </c>
      <c r="B192" s="10" t="s">
        <v>487</v>
      </c>
      <c r="C192" s="11">
        <v>1882</v>
      </c>
      <c r="D192" s="12" t="s">
        <v>87</v>
      </c>
      <c r="E192" s="11" t="s">
        <v>89</v>
      </c>
      <c r="F192" s="11">
        <v>1</v>
      </c>
      <c r="G192" s="11">
        <v>1</v>
      </c>
      <c r="H192" s="13">
        <v>317.8</v>
      </c>
      <c r="I192" s="13">
        <v>295.64</v>
      </c>
      <c r="J192" s="13">
        <v>245.14</v>
      </c>
      <c r="K192" s="36">
        <v>17</v>
      </c>
      <c r="L192" s="13">
        <f>'Таблица 2, 3 виды ремонта'!C183</f>
        <v>780464</v>
      </c>
      <c r="M192" s="14">
        <v>0</v>
      </c>
      <c r="N192" s="14">
        <v>0</v>
      </c>
      <c r="O192" s="14">
        <v>0</v>
      </c>
      <c r="P192" s="13">
        <f t="shared" si="2"/>
        <v>780464</v>
      </c>
      <c r="Q192" s="15" t="s">
        <v>602</v>
      </c>
    </row>
    <row r="193" spans="1:17" s="18" customFormat="1" ht="21.75" customHeight="1">
      <c r="A193" s="12" t="s">
        <v>220</v>
      </c>
      <c r="B193" s="17" t="s">
        <v>320</v>
      </c>
      <c r="C193" s="12">
        <v>1882</v>
      </c>
      <c r="D193" s="12" t="s">
        <v>87</v>
      </c>
      <c r="E193" s="12" t="s">
        <v>89</v>
      </c>
      <c r="F193" s="12">
        <v>1</v>
      </c>
      <c r="G193" s="12">
        <v>1</v>
      </c>
      <c r="H193" s="14">
        <v>127.05</v>
      </c>
      <c r="I193" s="14">
        <v>127.05</v>
      </c>
      <c r="J193" s="14">
        <v>93.05</v>
      </c>
      <c r="K193" s="12">
        <v>16</v>
      </c>
      <c r="L193" s="13">
        <f>'Таблица 2, 3 виды ремонта'!C184</f>
        <v>250000</v>
      </c>
      <c r="M193" s="14">
        <v>0</v>
      </c>
      <c r="N193" s="14">
        <v>0</v>
      </c>
      <c r="O193" s="14">
        <v>0</v>
      </c>
      <c r="P193" s="13">
        <f t="shared" si="2"/>
        <v>250000</v>
      </c>
      <c r="Q193" s="15" t="s">
        <v>602</v>
      </c>
    </row>
    <row r="194" spans="1:17" s="18" customFormat="1" ht="21.75" customHeight="1">
      <c r="A194" s="12" t="s">
        <v>221</v>
      </c>
      <c r="B194" s="10" t="s">
        <v>488</v>
      </c>
      <c r="C194" s="11">
        <v>1907</v>
      </c>
      <c r="D194" s="12" t="s">
        <v>87</v>
      </c>
      <c r="E194" s="11" t="s">
        <v>89</v>
      </c>
      <c r="F194" s="11">
        <v>2</v>
      </c>
      <c r="G194" s="11">
        <v>2</v>
      </c>
      <c r="H194" s="13">
        <v>1690</v>
      </c>
      <c r="I194" s="13">
        <v>1583.11</v>
      </c>
      <c r="J194" s="13">
        <v>1228.5</v>
      </c>
      <c r="K194" s="36">
        <v>95</v>
      </c>
      <c r="L194" s="13">
        <f>'Таблица 2, 3 виды ремонта'!C185</f>
        <v>1843000</v>
      </c>
      <c r="M194" s="14">
        <v>0</v>
      </c>
      <c r="N194" s="14">
        <v>0</v>
      </c>
      <c r="O194" s="14">
        <v>0</v>
      </c>
      <c r="P194" s="13">
        <f t="shared" si="2"/>
        <v>1843000</v>
      </c>
      <c r="Q194" s="15" t="s">
        <v>602</v>
      </c>
    </row>
    <row r="195" spans="1:17" s="18" customFormat="1" ht="21.75" customHeight="1">
      <c r="A195" s="12" t="s">
        <v>222</v>
      </c>
      <c r="B195" s="10" t="s">
        <v>489</v>
      </c>
      <c r="C195" s="11">
        <v>1917</v>
      </c>
      <c r="D195" s="12" t="s">
        <v>87</v>
      </c>
      <c r="E195" s="11" t="s">
        <v>89</v>
      </c>
      <c r="F195" s="11">
        <v>2</v>
      </c>
      <c r="G195" s="11">
        <v>3</v>
      </c>
      <c r="H195" s="13">
        <v>291.1</v>
      </c>
      <c r="I195" s="13">
        <v>232.2</v>
      </c>
      <c r="J195" s="13">
        <v>232.2</v>
      </c>
      <c r="K195" s="36">
        <v>11</v>
      </c>
      <c r="L195" s="13">
        <f>'Таблица 2, 3 виды ремонта'!C186</f>
        <v>1000000</v>
      </c>
      <c r="M195" s="14">
        <v>0</v>
      </c>
      <c r="N195" s="14">
        <v>0</v>
      </c>
      <c r="O195" s="14">
        <v>0</v>
      </c>
      <c r="P195" s="13">
        <f t="shared" si="2"/>
        <v>1000000</v>
      </c>
      <c r="Q195" s="15" t="s">
        <v>602</v>
      </c>
    </row>
    <row r="196" spans="1:17" s="18" customFormat="1" ht="21.75" customHeight="1">
      <c r="A196" s="12" t="s">
        <v>223</v>
      </c>
      <c r="B196" s="17" t="s">
        <v>321</v>
      </c>
      <c r="C196" s="12">
        <v>1935</v>
      </c>
      <c r="D196" s="12" t="s">
        <v>87</v>
      </c>
      <c r="E196" s="12" t="s">
        <v>89</v>
      </c>
      <c r="F196" s="12">
        <v>4</v>
      </c>
      <c r="G196" s="12">
        <v>2</v>
      </c>
      <c r="H196" s="14">
        <v>3227.4</v>
      </c>
      <c r="I196" s="14">
        <v>3111.3999999999996</v>
      </c>
      <c r="J196" s="14">
        <v>1817.6</v>
      </c>
      <c r="K196" s="12">
        <v>119</v>
      </c>
      <c r="L196" s="13">
        <f>'Таблица 2, 3 виды ремонта'!C187</f>
        <v>250000</v>
      </c>
      <c r="M196" s="14">
        <v>0</v>
      </c>
      <c r="N196" s="14">
        <v>0</v>
      </c>
      <c r="O196" s="14">
        <v>0</v>
      </c>
      <c r="P196" s="13">
        <f t="shared" si="2"/>
        <v>250000</v>
      </c>
      <c r="Q196" s="15" t="s">
        <v>602</v>
      </c>
    </row>
    <row r="197" spans="1:17" s="18" customFormat="1" ht="21.75" customHeight="1">
      <c r="A197" s="12" t="s">
        <v>224</v>
      </c>
      <c r="B197" s="16" t="s">
        <v>490</v>
      </c>
      <c r="C197" s="11">
        <v>1976</v>
      </c>
      <c r="D197" s="12" t="s">
        <v>87</v>
      </c>
      <c r="E197" s="11" t="s">
        <v>89</v>
      </c>
      <c r="F197" s="11">
        <v>9</v>
      </c>
      <c r="G197" s="11">
        <v>2</v>
      </c>
      <c r="H197" s="13">
        <v>6102</v>
      </c>
      <c r="I197" s="13">
        <f>4348.5+560</f>
        <v>4908.5</v>
      </c>
      <c r="J197" s="13">
        <v>3988.1</v>
      </c>
      <c r="K197" s="36">
        <v>185</v>
      </c>
      <c r="L197" s="13">
        <f>'Таблица 2, 3 виды ремонта'!C188</f>
        <v>1544015</v>
      </c>
      <c r="M197" s="14">
        <v>0</v>
      </c>
      <c r="N197" s="14">
        <v>0</v>
      </c>
      <c r="O197" s="14">
        <v>0</v>
      </c>
      <c r="P197" s="13">
        <f t="shared" si="2"/>
        <v>1544015</v>
      </c>
      <c r="Q197" s="15" t="s">
        <v>602</v>
      </c>
    </row>
    <row r="198" spans="1:17" s="18" customFormat="1" ht="21.75" customHeight="1">
      <c r="A198" s="12" t="s">
        <v>333</v>
      </c>
      <c r="B198" s="10" t="s">
        <v>491</v>
      </c>
      <c r="C198" s="11">
        <v>1969</v>
      </c>
      <c r="D198" s="12" t="s">
        <v>87</v>
      </c>
      <c r="E198" s="11" t="s">
        <v>89</v>
      </c>
      <c r="F198" s="11">
        <v>5</v>
      </c>
      <c r="G198" s="11">
        <v>6</v>
      </c>
      <c r="H198" s="13">
        <v>4511</v>
      </c>
      <c r="I198" s="13">
        <f>4470.6+40.4</f>
        <v>4511</v>
      </c>
      <c r="J198" s="13">
        <v>3843.5000000000005</v>
      </c>
      <c r="K198" s="36">
        <v>199</v>
      </c>
      <c r="L198" s="13">
        <f>'Таблица 2, 3 виды ремонта'!C189</f>
        <v>3893730</v>
      </c>
      <c r="M198" s="14">
        <v>0</v>
      </c>
      <c r="N198" s="14">
        <v>0</v>
      </c>
      <c r="O198" s="14">
        <v>0</v>
      </c>
      <c r="P198" s="13">
        <f t="shared" si="2"/>
        <v>3893730</v>
      </c>
      <c r="Q198" s="15" t="s">
        <v>602</v>
      </c>
    </row>
    <row r="199" spans="1:17" s="18" customFormat="1" ht="21.75" customHeight="1">
      <c r="A199" s="12" t="s">
        <v>614</v>
      </c>
      <c r="B199" s="16" t="s">
        <v>492</v>
      </c>
      <c r="C199" s="11">
        <v>1917</v>
      </c>
      <c r="D199" s="12" t="s">
        <v>87</v>
      </c>
      <c r="E199" s="11" t="s">
        <v>89</v>
      </c>
      <c r="F199" s="11">
        <v>5</v>
      </c>
      <c r="G199" s="11">
        <v>1</v>
      </c>
      <c r="H199" s="13">
        <v>2959.9</v>
      </c>
      <c r="I199" s="13">
        <f>1521.4+1036.9</f>
        <v>2558.3</v>
      </c>
      <c r="J199" s="13">
        <v>1521.4</v>
      </c>
      <c r="K199" s="36">
        <v>89</v>
      </c>
      <c r="L199" s="13">
        <f>'Таблица 2, 3 виды ремонта'!C190</f>
        <v>2400950</v>
      </c>
      <c r="M199" s="14">
        <v>0</v>
      </c>
      <c r="N199" s="14">
        <v>0</v>
      </c>
      <c r="O199" s="14">
        <v>0</v>
      </c>
      <c r="P199" s="13">
        <f t="shared" si="2"/>
        <v>2400950</v>
      </c>
      <c r="Q199" s="15" t="s">
        <v>602</v>
      </c>
    </row>
    <row r="200" spans="1:17" s="18" customFormat="1" ht="21.75" customHeight="1">
      <c r="A200" s="12" t="s">
        <v>225</v>
      </c>
      <c r="B200" s="16" t="s">
        <v>493</v>
      </c>
      <c r="C200" s="11">
        <v>1985</v>
      </c>
      <c r="D200" s="12" t="s">
        <v>87</v>
      </c>
      <c r="E200" s="11" t="s">
        <v>89</v>
      </c>
      <c r="F200" s="11">
        <v>5</v>
      </c>
      <c r="G200" s="11">
        <v>1</v>
      </c>
      <c r="H200" s="13">
        <v>2137</v>
      </c>
      <c r="I200" s="13">
        <v>1903.89</v>
      </c>
      <c r="J200" s="13">
        <v>1668.7900000000002</v>
      </c>
      <c r="K200" s="36">
        <v>81</v>
      </c>
      <c r="L200" s="13">
        <f>'Таблица 2, 3 виды ремонта'!C191</f>
        <v>629222</v>
      </c>
      <c r="M200" s="14">
        <v>0</v>
      </c>
      <c r="N200" s="14">
        <v>0</v>
      </c>
      <c r="O200" s="14">
        <v>0</v>
      </c>
      <c r="P200" s="13">
        <f t="shared" si="2"/>
        <v>629222</v>
      </c>
      <c r="Q200" s="15" t="s">
        <v>602</v>
      </c>
    </row>
    <row r="201" spans="1:17" s="18" customFormat="1" ht="21.75" customHeight="1">
      <c r="A201" s="12" t="s">
        <v>226</v>
      </c>
      <c r="B201" s="17" t="s">
        <v>322</v>
      </c>
      <c r="C201" s="12">
        <v>1950</v>
      </c>
      <c r="D201" s="12" t="s">
        <v>87</v>
      </c>
      <c r="E201" s="12" t="s">
        <v>89</v>
      </c>
      <c r="F201" s="12">
        <v>2</v>
      </c>
      <c r="G201" s="12">
        <v>2</v>
      </c>
      <c r="H201" s="14">
        <v>1332.16</v>
      </c>
      <c r="I201" s="14">
        <v>949.06</v>
      </c>
      <c r="J201" s="14">
        <v>610.3599999999999</v>
      </c>
      <c r="K201" s="12">
        <v>82</v>
      </c>
      <c r="L201" s="13">
        <f>'Таблица 2, 3 виды ремонта'!C192</f>
        <v>250000</v>
      </c>
      <c r="M201" s="14">
        <v>0</v>
      </c>
      <c r="N201" s="14">
        <v>0</v>
      </c>
      <c r="O201" s="14">
        <v>0</v>
      </c>
      <c r="P201" s="13">
        <f aca="true" t="shared" si="3" ref="P201:P261">L201</f>
        <v>250000</v>
      </c>
      <c r="Q201" s="15" t="s">
        <v>602</v>
      </c>
    </row>
    <row r="202" spans="1:17" s="18" customFormat="1" ht="21.75" customHeight="1">
      <c r="A202" s="12" t="s">
        <v>227</v>
      </c>
      <c r="B202" s="10" t="s">
        <v>494</v>
      </c>
      <c r="C202" s="11">
        <v>1950</v>
      </c>
      <c r="D202" s="12" t="s">
        <v>87</v>
      </c>
      <c r="E202" s="11" t="s">
        <v>89</v>
      </c>
      <c r="F202" s="11">
        <v>2</v>
      </c>
      <c r="G202" s="11">
        <v>2</v>
      </c>
      <c r="H202" s="13">
        <v>802.1</v>
      </c>
      <c r="I202" s="13">
        <v>734.5</v>
      </c>
      <c r="J202" s="13">
        <v>411.5</v>
      </c>
      <c r="K202" s="36">
        <v>45</v>
      </c>
      <c r="L202" s="13">
        <f>'Таблица 2, 3 виды ремонта'!C193</f>
        <v>1146000</v>
      </c>
      <c r="M202" s="14">
        <v>0</v>
      </c>
      <c r="N202" s="14">
        <v>0</v>
      </c>
      <c r="O202" s="14">
        <v>0</v>
      </c>
      <c r="P202" s="13">
        <f t="shared" si="3"/>
        <v>1146000</v>
      </c>
      <c r="Q202" s="15" t="s">
        <v>602</v>
      </c>
    </row>
    <row r="203" spans="1:17" s="18" customFormat="1" ht="21.75" customHeight="1">
      <c r="A203" s="12" t="s">
        <v>228</v>
      </c>
      <c r="B203" s="16" t="s">
        <v>495</v>
      </c>
      <c r="C203" s="11" t="s">
        <v>98</v>
      </c>
      <c r="D203" s="12" t="s">
        <v>87</v>
      </c>
      <c r="E203" s="11" t="s">
        <v>89</v>
      </c>
      <c r="F203" s="11">
        <v>2</v>
      </c>
      <c r="G203" s="11">
        <v>1</v>
      </c>
      <c r="H203" s="13">
        <v>423.11</v>
      </c>
      <c r="I203" s="13">
        <f>344.61+65.3</f>
        <v>409.91</v>
      </c>
      <c r="J203" s="13">
        <v>231.64000000000001</v>
      </c>
      <c r="K203" s="36">
        <v>20</v>
      </c>
      <c r="L203" s="13">
        <f>'Таблица 2, 3 виды ремонта'!C194</f>
        <v>634250.76</v>
      </c>
      <c r="M203" s="14">
        <v>0</v>
      </c>
      <c r="N203" s="14">
        <v>0</v>
      </c>
      <c r="O203" s="14">
        <v>0</v>
      </c>
      <c r="P203" s="13">
        <f t="shared" si="3"/>
        <v>634250.76</v>
      </c>
      <c r="Q203" s="15" t="s">
        <v>99</v>
      </c>
    </row>
    <row r="204" spans="1:17" s="18" customFormat="1" ht="21.75" customHeight="1">
      <c r="A204" s="12" t="s">
        <v>229</v>
      </c>
      <c r="B204" s="16" t="s">
        <v>496</v>
      </c>
      <c r="C204" s="11" t="s">
        <v>98</v>
      </c>
      <c r="D204" s="12" t="s">
        <v>87</v>
      </c>
      <c r="E204" s="11" t="s">
        <v>89</v>
      </c>
      <c r="F204" s="11">
        <v>3.2</v>
      </c>
      <c r="G204" s="11">
        <v>4</v>
      </c>
      <c r="H204" s="13">
        <v>711.95</v>
      </c>
      <c r="I204" s="13">
        <f>471.87+112.18</f>
        <v>584.05</v>
      </c>
      <c r="J204" s="13">
        <v>416.77</v>
      </c>
      <c r="K204" s="36">
        <v>37</v>
      </c>
      <c r="L204" s="13">
        <f>'Таблица 2, 3 виды ремонта'!C195</f>
        <v>1830000</v>
      </c>
      <c r="M204" s="14">
        <v>0</v>
      </c>
      <c r="N204" s="14">
        <v>0</v>
      </c>
      <c r="O204" s="14">
        <v>0</v>
      </c>
      <c r="P204" s="13">
        <f t="shared" si="3"/>
        <v>1830000</v>
      </c>
      <c r="Q204" s="15" t="s">
        <v>602</v>
      </c>
    </row>
    <row r="205" spans="1:17" s="18" customFormat="1" ht="21.75" customHeight="1">
      <c r="A205" s="12" t="s">
        <v>230</v>
      </c>
      <c r="B205" s="17" t="s">
        <v>323</v>
      </c>
      <c r="C205" s="12">
        <v>1917</v>
      </c>
      <c r="D205" s="12" t="s">
        <v>87</v>
      </c>
      <c r="E205" s="12" t="s">
        <v>89</v>
      </c>
      <c r="F205" s="12">
        <v>2</v>
      </c>
      <c r="G205" s="12">
        <v>1</v>
      </c>
      <c r="H205" s="14">
        <v>961.6</v>
      </c>
      <c r="I205" s="14">
        <v>352.94</v>
      </c>
      <c r="J205" s="14">
        <v>176.94</v>
      </c>
      <c r="K205" s="12">
        <v>18</v>
      </c>
      <c r="L205" s="13">
        <f>'Таблица 2, 3 виды ремонта'!C196</f>
        <v>250000</v>
      </c>
      <c r="M205" s="14">
        <v>0</v>
      </c>
      <c r="N205" s="14">
        <v>0</v>
      </c>
      <c r="O205" s="14">
        <v>0</v>
      </c>
      <c r="P205" s="13">
        <f t="shared" si="3"/>
        <v>250000</v>
      </c>
      <c r="Q205" s="15" t="s">
        <v>602</v>
      </c>
    </row>
    <row r="206" spans="1:17" s="18" customFormat="1" ht="21.75" customHeight="1">
      <c r="A206" s="12" t="s">
        <v>231</v>
      </c>
      <c r="B206" s="16" t="s">
        <v>497</v>
      </c>
      <c r="C206" s="11" t="s">
        <v>98</v>
      </c>
      <c r="D206" s="12" t="s">
        <v>87</v>
      </c>
      <c r="E206" s="11" t="s">
        <v>89</v>
      </c>
      <c r="F206" s="11">
        <v>2</v>
      </c>
      <c r="G206" s="11">
        <v>3</v>
      </c>
      <c r="H206" s="13">
        <v>799.4</v>
      </c>
      <c r="I206" s="13">
        <f>327.98+392.22</f>
        <v>720.2</v>
      </c>
      <c r="J206" s="13">
        <v>327.98</v>
      </c>
      <c r="K206" s="36">
        <v>9</v>
      </c>
      <c r="L206" s="13">
        <f>'Таблица 2, 3 виды ремонта'!C197</f>
        <v>1470000</v>
      </c>
      <c r="M206" s="14">
        <v>0</v>
      </c>
      <c r="N206" s="14">
        <v>0</v>
      </c>
      <c r="O206" s="14">
        <v>0</v>
      </c>
      <c r="P206" s="13">
        <f t="shared" si="3"/>
        <v>1470000</v>
      </c>
      <c r="Q206" s="15" t="s">
        <v>602</v>
      </c>
    </row>
    <row r="207" spans="1:17" s="18" customFormat="1" ht="21.75" customHeight="1">
      <c r="A207" s="12" t="s">
        <v>232</v>
      </c>
      <c r="B207" s="16" t="s">
        <v>498</v>
      </c>
      <c r="C207" s="11" t="s">
        <v>98</v>
      </c>
      <c r="D207" s="12" t="s">
        <v>87</v>
      </c>
      <c r="E207" s="11" t="s">
        <v>89</v>
      </c>
      <c r="F207" s="11">
        <v>2</v>
      </c>
      <c r="G207" s="11">
        <v>1</v>
      </c>
      <c r="H207" s="13">
        <v>836.8</v>
      </c>
      <c r="I207" s="13">
        <f>711.57+107.73</f>
        <v>819.3000000000001</v>
      </c>
      <c r="J207" s="13">
        <v>607.1700000000001</v>
      </c>
      <c r="K207" s="36">
        <v>37</v>
      </c>
      <c r="L207" s="13">
        <f>'Таблица 2, 3 виды ремонта'!C198</f>
        <v>250000</v>
      </c>
      <c r="M207" s="14">
        <v>0</v>
      </c>
      <c r="N207" s="14">
        <v>0</v>
      </c>
      <c r="O207" s="14">
        <v>0</v>
      </c>
      <c r="P207" s="13">
        <f t="shared" si="3"/>
        <v>250000</v>
      </c>
      <c r="Q207" s="15" t="s">
        <v>602</v>
      </c>
    </row>
    <row r="208" spans="1:17" s="18" customFormat="1" ht="21.75" customHeight="1">
      <c r="A208" s="12" t="s">
        <v>334</v>
      </c>
      <c r="B208" s="10" t="s">
        <v>499</v>
      </c>
      <c r="C208" s="11">
        <v>1963</v>
      </c>
      <c r="D208" s="12" t="s">
        <v>87</v>
      </c>
      <c r="E208" s="11" t="s">
        <v>89</v>
      </c>
      <c r="F208" s="11">
        <v>9</v>
      </c>
      <c r="G208" s="11">
        <v>2</v>
      </c>
      <c r="H208" s="13">
        <v>6159.3</v>
      </c>
      <c r="I208" s="13">
        <v>4556.06</v>
      </c>
      <c r="J208" s="13">
        <v>3551.59</v>
      </c>
      <c r="K208" s="36">
        <v>261</v>
      </c>
      <c r="L208" s="13">
        <f>'Таблица 2, 3 виды ремонта'!C199</f>
        <v>3789443.35</v>
      </c>
      <c r="M208" s="14">
        <v>0</v>
      </c>
      <c r="N208" s="14">
        <v>0</v>
      </c>
      <c r="O208" s="14">
        <v>0</v>
      </c>
      <c r="P208" s="13">
        <f t="shared" si="3"/>
        <v>3789443.35</v>
      </c>
      <c r="Q208" s="15" t="s">
        <v>602</v>
      </c>
    </row>
    <row r="209" spans="1:17" s="18" customFormat="1" ht="21.75" customHeight="1">
      <c r="A209" s="12" t="s">
        <v>233</v>
      </c>
      <c r="B209" s="20" t="s">
        <v>500</v>
      </c>
      <c r="C209" s="11">
        <v>1952</v>
      </c>
      <c r="D209" s="12" t="s">
        <v>87</v>
      </c>
      <c r="E209" s="11" t="s">
        <v>169</v>
      </c>
      <c r="F209" s="11">
        <v>3</v>
      </c>
      <c r="G209" s="11">
        <v>2</v>
      </c>
      <c r="H209" s="13">
        <v>1126.4</v>
      </c>
      <c r="I209" s="13">
        <v>922.2</v>
      </c>
      <c r="J209" s="13">
        <v>749.8000000000001</v>
      </c>
      <c r="K209" s="36">
        <v>55</v>
      </c>
      <c r="L209" s="13">
        <f>'Таблица 2, 3 виды ремонта'!C200</f>
        <v>981561</v>
      </c>
      <c r="M209" s="14">
        <v>0</v>
      </c>
      <c r="N209" s="14">
        <v>0</v>
      </c>
      <c r="O209" s="14">
        <v>0</v>
      </c>
      <c r="P209" s="13">
        <f t="shared" si="3"/>
        <v>981561</v>
      </c>
      <c r="Q209" s="15" t="s">
        <v>602</v>
      </c>
    </row>
    <row r="210" spans="1:17" s="18" customFormat="1" ht="21.75" customHeight="1">
      <c r="A210" s="12" t="s">
        <v>234</v>
      </c>
      <c r="B210" s="20" t="s">
        <v>501</v>
      </c>
      <c r="C210" s="11">
        <v>1953</v>
      </c>
      <c r="D210" s="12" t="s">
        <v>87</v>
      </c>
      <c r="E210" s="11" t="s">
        <v>169</v>
      </c>
      <c r="F210" s="11">
        <v>3</v>
      </c>
      <c r="G210" s="11">
        <v>2</v>
      </c>
      <c r="H210" s="13">
        <v>1171.96</v>
      </c>
      <c r="I210" s="13">
        <v>956.7</v>
      </c>
      <c r="J210" s="13">
        <v>726.1</v>
      </c>
      <c r="K210" s="36">
        <v>49</v>
      </c>
      <c r="L210" s="13">
        <f>'Таблица 2, 3 виды ремонта'!C201</f>
        <v>982594</v>
      </c>
      <c r="M210" s="14">
        <v>0</v>
      </c>
      <c r="N210" s="14">
        <v>0</v>
      </c>
      <c r="O210" s="14">
        <v>0</v>
      </c>
      <c r="P210" s="13">
        <f t="shared" si="3"/>
        <v>982594</v>
      </c>
      <c r="Q210" s="15" t="s">
        <v>602</v>
      </c>
    </row>
    <row r="211" spans="1:17" s="18" customFormat="1" ht="21.75" customHeight="1">
      <c r="A211" s="12" t="s">
        <v>235</v>
      </c>
      <c r="B211" s="10" t="s">
        <v>502</v>
      </c>
      <c r="C211" s="11">
        <v>1961</v>
      </c>
      <c r="D211" s="12" t="s">
        <v>87</v>
      </c>
      <c r="E211" s="11" t="s">
        <v>89</v>
      </c>
      <c r="F211" s="11">
        <v>2</v>
      </c>
      <c r="G211" s="11">
        <v>1</v>
      </c>
      <c r="H211" s="13">
        <v>314.1</v>
      </c>
      <c r="I211" s="13">
        <v>205.9</v>
      </c>
      <c r="J211" s="13">
        <v>55.900000000000006</v>
      </c>
      <c r="K211" s="36">
        <v>22</v>
      </c>
      <c r="L211" s="13">
        <f>'Таблица 2, 3 виды ремонта'!C202</f>
        <v>451969.5</v>
      </c>
      <c r="M211" s="14">
        <v>0</v>
      </c>
      <c r="N211" s="14">
        <v>0</v>
      </c>
      <c r="O211" s="14">
        <v>0</v>
      </c>
      <c r="P211" s="13">
        <f t="shared" si="3"/>
        <v>451969.5</v>
      </c>
      <c r="Q211" s="15" t="s">
        <v>99</v>
      </c>
    </row>
    <row r="212" spans="1:17" s="18" customFormat="1" ht="21.75" customHeight="1">
      <c r="A212" s="12" t="s">
        <v>236</v>
      </c>
      <c r="B212" s="10" t="s">
        <v>503</v>
      </c>
      <c r="C212" s="11">
        <v>1961</v>
      </c>
      <c r="D212" s="12" t="s">
        <v>87</v>
      </c>
      <c r="E212" s="11" t="s">
        <v>89</v>
      </c>
      <c r="F212" s="11">
        <v>2</v>
      </c>
      <c r="G212" s="11">
        <v>1</v>
      </c>
      <c r="H212" s="13">
        <v>320.4</v>
      </c>
      <c r="I212" s="13">
        <v>242</v>
      </c>
      <c r="J212" s="13">
        <v>80</v>
      </c>
      <c r="K212" s="36">
        <v>20</v>
      </c>
      <c r="L212" s="13">
        <f>'Таблица 2, 3 виды ремонта'!C203</f>
        <v>474133.44</v>
      </c>
      <c r="M212" s="14">
        <v>0</v>
      </c>
      <c r="N212" s="14">
        <v>0</v>
      </c>
      <c r="O212" s="14">
        <v>0</v>
      </c>
      <c r="P212" s="13">
        <f t="shared" si="3"/>
        <v>474133.44</v>
      </c>
      <c r="Q212" s="15" t="s">
        <v>99</v>
      </c>
    </row>
    <row r="213" spans="1:17" s="18" customFormat="1" ht="21.75" customHeight="1">
      <c r="A213" s="12" t="s">
        <v>237</v>
      </c>
      <c r="B213" s="10" t="s">
        <v>504</v>
      </c>
      <c r="C213" s="11">
        <v>1961</v>
      </c>
      <c r="D213" s="12" t="s">
        <v>87</v>
      </c>
      <c r="E213" s="11" t="s">
        <v>89</v>
      </c>
      <c r="F213" s="11">
        <v>2</v>
      </c>
      <c r="G213" s="11">
        <v>1</v>
      </c>
      <c r="H213" s="13">
        <v>318.2</v>
      </c>
      <c r="I213" s="13">
        <v>215.5</v>
      </c>
      <c r="J213" s="13">
        <v>90.5</v>
      </c>
      <c r="K213" s="36">
        <v>21</v>
      </c>
      <c r="L213" s="13">
        <f>'Таблица 2, 3 виды ремонта'!C204</f>
        <v>456612.8</v>
      </c>
      <c r="M213" s="14">
        <v>0</v>
      </c>
      <c r="N213" s="14">
        <v>0</v>
      </c>
      <c r="O213" s="14">
        <v>0</v>
      </c>
      <c r="P213" s="13">
        <f t="shared" si="3"/>
        <v>456612.8</v>
      </c>
      <c r="Q213" s="15" t="s">
        <v>99</v>
      </c>
    </row>
    <row r="214" spans="1:17" s="18" customFormat="1" ht="21.75" customHeight="1">
      <c r="A214" s="12" t="s">
        <v>615</v>
      </c>
      <c r="B214" s="16" t="s">
        <v>505</v>
      </c>
      <c r="C214" s="11">
        <v>1990</v>
      </c>
      <c r="D214" s="12" t="s">
        <v>87</v>
      </c>
      <c r="E214" s="11" t="s">
        <v>88</v>
      </c>
      <c r="F214" s="11">
        <v>5</v>
      </c>
      <c r="G214" s="11">
        <v>4</v>
      </c>
      <c r="H214" s="13">
        <v>2863.9</v>
      </c>
      <c r="I214" s="13">
        <v>2847.2</v>
      </c>
      <c r="J214" s="13">
        <v>1392.2299999999998</v>
      </c>
      <c r="K214" s="36">
        <v>70</v>
      </c>
      <c r="L214" s="13">
        <f>'Таблица 2, 3 виды ремонта'!C205</f>
        <v>964430</v>
      </c>
      <c r="M214" s="14">
        <v>0</v>
      </c>
      <c r="N214" s="14">
        <v>0</v>
      </c>
      <c r="O214" s="14">
        <v>0</v>
      </c>
      <c r="P214" s="13">
        <f t="shared" si="3"/>
        <v>964430</v>
      </c>
      <c r="Q214" s="15" t="s">
        <v>602</v>
      </c>
    </row>
    <row r="215" spans="1:17" s="18" customFormat="1" ht="21.75" customHeight="1">
      <c r="A215" s="12" t="s">
        <v>238</v>
      </c>
      <c r="B215" s="16" t="s">
        <v>506</v>
      </c>
      <c r="C215" s="11">
        <v>1986</v>
      </c>
      <c r="D215" s="12" t="s">
        <v>87</v>
      </c>
      <c r="E215" s="11" t="s">
        <v>88</v>
      </c>
      <c r="F215" s="11">
        <v>5</v>
      </c>
      <c r="G215" s="11">
        <v>4</v>
      </c>
      <c r="H215" s="13">
        <v>3564.95</v>
      </c>
      <c r="I215" s="13">
        <v>2725.54</v>
      </c>
      <c r="J215" s="13">
        <v>1705.9099999999999</v>
      </c>
      <c r="K215" s="36">
        <v>142</v>
      </c>
      <c r="L215" s="13">
        <f>'Таблица 2, 3 виды ремонта'!C206</f>
        <v>540024.64</v>
      </c>
      <c r="M215" s="14">
        <v>0</v>
      </c>
      <c r="N215" s="14">
        <v>0</v>
      </c>
      <c r="O215" s="14">
        <v>0</v>
      </c>
      <c r="P215" s="13">
        <f t="shared" si="3"/>
        <v>540024.64</v>
      </c>
      <c r="Q215" s="15" t="s">
        <v>99</v>
      </c>
    </row>
    <row r="216" spans="1:17" s="18" customFormat="1" ht="21.75" customHeight="1">
      <c r="A216" s="12" t="s">
        <v>239</v>
      </c>
      <c r="B216" s="16" t="s">
        <v>507</v>
      </c>
      <c r="C216" s="11">
        <v>1986</v>
      </c>
      <c r="D216" s="12" t="s">
        <v>87</v>
      </c>
      <c r="E216" s="11" t="s">
        <v>88</v>
      </c>
      <c r="F216" s="11">
        <v>5</v>
      </c>
      <c r="G216" s="11">
        <v>4</v>
      </c>
      <c r="H216" s="13">
        <v>2785.79</v>
      </c>
      <c r="I216" s="13">
        <v>2785.79</v>
      </c>
      <c r="J216" s="13">
        <v>2148.42</v>
      </c>
      <c r="K216" s="36">
        <v>143</v>
      </c>
      <c r="L216" s="13">
        <f>'Таблица 2, 3 виды ремонта'!C207</f>
        <v>1097475.86</v>
      </c>
      <c r="M216" s="14">
        <v>0</v>
      </c>
      <c r="N216" s="14">
        <v>0</v>
      </c>
      <c r="O216" s="14">
        <v>0</v>
      </c>
      <c r="P216" s="13">
        <f t="shared" si="3"/>
        <v>1097475.86</v>
      </c>
      <c r="Q216" s="15" t="s">
        <v>602</v>
      </c>
    </row>
    <row r="217" spans="1:17" s="18" customFormat="1" ht="21.75" customHeight="1">
      <c r="A217" s="12" t="s">
        <v>616</v>
      </c>
      <c r="B217" s="16" t="s">
        <v>508</v>
      </c>
      <c r="C217" s="11">
        <v>1984</v>
      </c>
      <c r="D217" s="12" t="s">
        <v>87</v>
      </c>
      <c r="E217" s="11" t="s">
        <v>88</v>
      </c>
      <c r="F217" s="11">
        <v>5</v>
      </c>
      <c r="G217" s="11">
        <v>2</v>
      </c>
      <c r="H217" s="13">
        <v>1908.33</v>
      </c>
      <c r="I217" s="13">
        <v>1437.7</v>
      </c>
      <c r="J217" s="13">
        <v>1037.6200000000001</v>
      </c>
      <c r="K217" s="36">
        <v>76</v>
      </c>
      <c r="L217" s="13">
        <f>'Таблица 2, 3 виды ремонта'!C208</f>
        <v>536532.09</v>
      </c>
      <c r="M217" s="14">
        <v>0</v>
      </c>
      <c r="N217" s="14">
        <v>0</v>
      </c>
      <c r="O217" s="14">
        <v>0</v>
      </c>
      <c r="P217" s="13">
        <f t="shared" si="3"/>
        <v>536532.09</v>
      </c>
      <c r="Q217" s="15" t="s">
        <v>602</v>
      </c>
    </row>
    <row r="218" spans="1:17" s="18" customFormat="1" ht="21.75" customHeight="1">
      <c r="A218" s="12" t="s">
        <v>335</v>
      </c>
      <c r="B218" s="16" t="s">
        <v>509</v>
      </c>
      <c r="C218" s="11">
        <v>1998</v>
      </c>
      <c r="D218" s="12" t="s">
        <v>87</v>
      </c>
      <c r="E218" s="11" t="s">
        <v>88</v>
      </c>
      <c r="F218" s="11">
        <v>5</v>
      </c>
      <c r="G218" s="11">
        <v>4</v>
      </c>
      <c r="H218" s="13">
        <v>3733.4</v>
      </c>
      <c r="I218" s="13">
        <v>2867.4</v>
      </c>
      <c r="J218" s="13">
        <v>2729.5</v>
      </c>
      <c r="K218" s="36">
        <v>128</v>
      </c>
      <c r="L218" s="13">
        <f>'Таблица 2, 3 виды ремонта'!C209</f>
        <v>220019</v>
      </c>
      <c r="M218" s="14">
        <v>0</v>
      </c>
      <c r="N218" s="14">
        <v>0</v>
      </c>
      <c r="O218" s="14">
        <v>0</v>
      </c>
      <c r="P218" s="13">
        <f t="shared" si="3"/>
        <v>220019</v>
      </c>
      <c r="Q218" s="15" t="s">
        <v>602</v>
      </c>
    </row>
    <row r="219" spans="1:17" s="18" customFormat="1" ht="21.75" customHeight="1">
      <c r="A219" s="12" t="s">
        <v>240</v>
      </c>
      <c r="B219" s="10" t="s">
        <v>510</v>
      </c>
      <c r="C219" s="11">
        <v>1961</v>
      </c>
      <c r="D219" s="12" t="s">
        <v>87</v>
      </c>
      <c r="E219" s="11" t="s">
        <v>89</v>
      </c>
      <c r="F219" s="11">
        <v>2</v>
      </c>
      <c r="G219" s="11">
        <v>2</v>
      </c>
      <c r="H219" s="13">
        <v>868.6</v>
      </c>
      <c r="I219" s="13">
        <v>634.1</v>
      </c>
      <c r="J219" s="13">
        <v>477.40000000000003</v>
      </c>
      <c r="K219" s="36">
        <v>26</v>
      </c>
      <c r="L219" s="13">
        <f>'Таблица 2, 3 виды ремонта'!C210</f>
        <v>1079861.1800000002</v>
      </c>
      <c r="M219" s="14">
        <v>0</v>
      </c>
      <c r="N219" s="14">
        <v>0</v>
      </c>
      <c r="O219" s="14">
        <v>0</v>
      </c>
      <c r="P219" s="13">
        <f t="shared" si="3"/>
        <v>1079861.1800000002</v>
      </c>
      <c r="Q219" s="15" t="s">
        <v>602</v>
      </c>
    </row>
    <row r="220" spans="1:17" s="18" customFormat="1" ht="21.75" customHeight="1">
      <c r="A220" s="12" t="s">
        <v>241</v>
      </c>
      <c r="B220" s="10" t="s">
        <v>511</v>
      </c>
      <c r="C220" s="11">
        <v>1990</v>
      </c>
      <c r="D220" s="12" t="s">
        <v>87</v>
      </c>
      <c r="E220" s="11" t="s">
        <v>89</v>
      </c>
      <c r="F220" s="11">
        <v>5</v>
      </c>
      <c r="G220" s="11">
        <v>8</v>
      </c>
      <c r="H220" s="13">
        <v>5306.56</v>
      </c>
      <c r="I220" s="13">
        <f>5030.96+275.6</f>
        <v>5306.56</v>
      </c>
      <c r="J220" s="13">
        <v>4045.42</v>
      </c>
      <c r="K220" s="36">
        <v>255</v>
      </c>
      <c r="L220" s="13">
        <f>'Таблица 2, 3 виды ремонта'!C211</f>
        <v>279000</v>
      </c>
      <c r="M220" s="14">
        <v>0</v>
      </c>
      <c r="N220" s="14">
        <v>0</v>
      </c>
      <c r="O220" s="14">
        <v>0</v>
      </c>
      <c r="P220" s="13">
        <f t="shared" si="3"/>
        <v>279000</v>
      </c>
      <c r="Q220" s="15" t="s">
        <v>602</v>
      </c>
    </row>
    <row r="221" spans="1:17" s="18" customFormat="1" ht="21.75" customHeight="1">
      <c r="A221" s="12" t="s">
        <v>242</v>
      </c>
      <c r="B221" s="10" t="s">
        <v>512</v>
      </c>
      <c r="C221" s="11">
        <v>1993</v>
      </c>
      <c r="D221" s="12" t="s">
        <v>87</v>
      </c>
      <c r="E221" s="11" t="s">
        <v>88</v>
      </c>
      <c r="F221" s="11">
        <v>5</v>
      </c>
      <c r="G221" s="11">
        <v>6</v>
      </c>
      <c r="H221" s="13">
        <v>4321.1</v>
      </c>
      <c r="I221" s="13">
        <v>4321.1</v>
      </c>
      <c r="J221" s="13">
        <v>3634.3</v>
      </c>
      <c r="K221" s="36">
        <v>192</v>
      </c>
      <c r="L221" s="13">
        <f>'Таблица 2, 3 виды ремонта'!C212</f>
        <v>1565725.99</v>
      </c>
      <c r="M221" s="14">
        <v>0</v>
      </c>
      <c r="N221" s="14">
        <v>0</v>
      </c>
      <c r="O221" s="14">
        <v>0</v>
      </c>
      <c r="P221" s="13">
        <f t="shared" si="3"/>
        <v>1565725.99</v>
      </c>
      <c r="Q221" s="15" t="s">
        <v>602</v>
      </c>
    </row>
    <row r="222" spans="1:17" s="18" customFormat="1" ht="21.75" customHeight="1">
      <c r="A222" s="12" t="s">
        <v>243</v>
      </c>
      <c r="B222" s="10" t="s">
        <v>513</v>
      </c>
      <c r="C222" s="11">
        <v>1977</v>
      </c>
      <c r="D222" s="12" t="s">
        <v>87</v>
      </c>
      <c r="E222" s="11" t="s">
        <v>89</v>
      </c>
      <c r="F222" s="11">
        <v>2</v>
      </c>
      <c r="G222" s="11">
        <v>3</v>
      </c>
      <c r="H222" s="13">
        <v>888</v>
      </c>
      <c r="I222" s="13">
        <v>886</v>
      </c>
      <c r="J222" s="13">
        <v>772.6</v>
      </c>
      <c r="K222" s="36">
        <v>56</v>
      </c>
      <c r="L222" s="13">
        <f>'Таблица 2, 3 виды ремонта'!C213</f>
        <v>700000</v>
      </c>
      <c r="M222" s="14">
        <v>0</v>
      </c>
      <c r="N222" s="14">
        <v>0</v>
      </c>
      <c r="O222" s="14">
        <v>0</v>
      </c>
      <c r="P222" s="13">
        <f t="shared" si="3"/>
        <v>700000</v>
      </c>
      <c r="Q222" s="15" t="s">
        <v>602</v>
      </c>
    </row>
    <row r="223" spans="1:17" s="18" customFormat="1" ht="21.75" customHeight="1">
      <c r="A223" s="12" t="s">
        <v>244</v>
      </c>
      <c r="B223" s="10" t="s">
        <v>514</v>
      </c>
      <c r="C223" s="11">
        <v>1979</v>
      </c>
      <c r="D223" s="12" t="s">
        <v>87</v>
      </c>
      <c r="E223" s="11" t="s">
        <v>89</v>
      </c>
      <c r="F223" s="11">
        <v>2</v>
      </c>
      <c r="G223" s="11">
        <v>3</v>
      </c>
      <c r="H223" s="13">
        <v>954</v>
      </c>
      <c r="I223" s="13">
        <v>954</v>
      </c>
      <c r="J223" s="13">
        <v>760.4</v>
      </c>
      <c r="K223" s="36">
        <v>55</v>
      </c>
      <c r="L223" s="13">
        <f>'Таблица 2, 3 виды ремонта'!C214</f>
        <v>800000</v>
      </c>
      <c r="M223" s="14">
        <v>0</v>
      </c>
      <c r="N223" s="14">
        <v>0</v>
      </c>
      <c r="O223" s="14">
        <v>0</v>
      </c>
      <c r="P223" s="13">
        <f t="shared" si="3"/>
        <v>800000</v>
      </c>
      <c r="Q223" s="15" t="s">
        <v>602</v>
      </c>
    </row>
    <row r="224" spans="1:17" s="18" customFormat="1" ht="21.75" customHeight="1">
      <c r="A224" s="12" t="s">
        <v>245</v>
      </c>
      <c r="B224" s="10" t="s">
        <v>515</v>
      </c>
      <c r="C224" s="11">
        <v>1981</v>
      </c>
      <c r="D224" s="12" t="s">
        <v>87</v>
      </c>
      <c r="E224" s="11" t="s">
        <v>88</v>
      </c>
      <c r="F224" s="11">
        <v>3</v>
      </c>
      <c r="G224" s="11">
        <v>4</v>
      </c>
      <c r="H224" s="13">
        <v>1770.2</v>
      </c>
      <c r="I224" s="13">
        <v>1591.4</v>
      </c>
      <c r="J224" s="13">
        <v>1271.4</v>
      </c>
      <c r="K224" s="36">
        <v>101</v>
      </c>
      <c r="L224" s="13">
        <f>'Таблица 2, 3 виды ремонта'!C215</f>
        <v>314187</v>
      </c>
      <c r="M224" s="14">
        <v>0</v>
      </c>
      <c r="N224" s="14">
        <v>0</v>
      </c>
      <c r="O224" s="14">
        <v>0</v>
      </c>
      <c r="P224" s="13">
        <f t="shared" si="3"/>
        <v>314187</v>
      </c>
      <c r="Q224" s="15" t="s">
        <v>99</v>
      </c>
    </row>
    <row r="225" spans="1:17" s="18" customFormat="1" ht="21.75" customHeight="1">
      <c r="A225" s="12" t="s">
        <v>246</v>
      </c>
      <c r="B225" s="10" t="s">
        <v>516</v>
      </c>
      <c r="C225" s="11">
        <v>1980</v>
      </c>
      <c r="D225" s="12" t="s">
        <v>87</v>
      </c>
      <c r="E225" s="11" t="s">
        <v>88</v>
      </c>
      <c r="F225" s="11">
        <v>3</v>
      </c>
      <c r="G225" s="11">
        <v>4</v>
      </c>
      <c r="H225" s="13">
        <v>3308.08</v>
      </c>
      <c r="I225" s="13">
        <v>1645.28</v>
      </c>
      <c r="J225" s="13">
        <v>1316.08</v>
      </c>
      <c r="K225" s="36">
        <v>88</v>
      </c>
      <c r="L225" s="13">
        <f>'Таблица 2, 3 виды ремонта'!C216</f>
        <v>935938.64</v>
      </c>
      <c r="M225" s="14">
        <v>0</v>
      </c>
      <c r="N225" s="14">
        <v>0</v>
      </c>
      <c r="O225" s="14">
        <v>0</v>
      </c>
      <c r="P225" s="13">
        <f t="shared" si="3"/>
        <v>935938.64</v>
      </c>
      <c r="Q225" s="15" t="s">
        <v>602</v>
      </c>
    </row>
    <row r="226" spans="1:17" s="18" customFormat="1" ht="21.75" customHeight="1">
      <c r="A226" s="12" t="s">
        <v>247</v>
      </c>
      <c r="B226" s="10" t="s">
        <v>517</v>
      </c>
      <c r="C226" s="11">
        <v>1979</v>
      </c>
      <c r="D226" s="12" t="s">
        <v>87</v>
      </c>
      <c r="E226" s="11" t="s">
        <v>89</v>
      </c>
      <c r="F226" s="11">
        <v>2</v>
      </c>
      <c r="G226" s="11">
        <v>3</v>
      </c>
      <c r="H226" s="13">
        <v>943.98</v>
      </c>
      <c r="I226" s="13">
        <v>943.98</v>
      </c>
      <c r="J226" s="13">
        <v>627.1</v>
      </c>
      <c r="K226" s="36">
        <v>45</v>
      </c>
      <c r="L226" s="13">
        <f>'Таблица 2, 3 виды ремонта'!C217</f>
        <v>952226.44</v>
      </c>
      <c r="M226" s="14">
        <v>0</v>
      </c>
      <c r="N226" s="14">
        <v>0</v>
      </c>
      <c r="O226" s="14">
        <v>0</v>
      </c>
      <c r="P226" s="13">
        <f t="shared" si="3"/>
        <v>952226.44</v>
      </c>
      <c r="Q226" s="15" t="s">
        <v>602</v>
      </c>
    </row>
    <row r="227" spans="1:17" s="18" customFormat="1" ht="21.75" customHeight="1">
      <c r="A227" s="12" t="s">
        <v>248</v>
      </c>
      <c r="B227" s="10" t="s">
        <v>518</v>
      </c>
      <c r="C227" s="11">
        <v>1977</v>
      </c>
      <c r="D227" s="12" t="s">
        <v>87</v>
      </c>
      <c r="E227" s="11" t="s">
        <v>89</v>
      </c>
      <c r="F227" s="11">
        <v>9</v>
      </c>
      <c r="G227" s="11">
        <v>2</v>
      </c>
      <c r="H227" s="13">
        <v>3863.61</v>
      </c>
      <c r="I227" s="13">
        <v>3757.31</v>
      </c>
      <c r="J227" s="13">
        <v>3757.31</v>
      </c>
      <c r="K227" s="36">
        <v>288</v>
      </c>
      <c r="L227" s="13">
        <f>'Таблица 2, 3 виды ремонта'!C218</f>
        <v>3088650.54</v>
      </c>
      <c r="M227" s="14">
        <v>0</v>
      </c>
      <c r="N227" s="14">
        <v>0</v>
      </c>
      <c r="O227" s="14">
        <v>0</v>
      </c>
      <c r="P227" s="13">
        <f t="shared" si="3"/>
        <v>3088650.54</v>
      </c>
      <c r="Q227" s="15" t="s">
        <v>602</v>
      </c>
    </row>
    <row r="228" spans="1:17" s="18" customFormat="1" ht="21.75" customHeight="1">
      <c r="A228" s="12" t="s">
        <v>249</v>
      </c>
      <c r="B228" s="10" t="s">
        <v>519</v>
      </c>
      <c r="C228" s="11" t="s">
        <v>98</v>
      </c>
      <c r="D228" s="12" t="s">
        <v>87</v>
      </c>
      <c r="E228" s="11" t="s">
        <v>89</v>
      </c>
      <c r="F228" s="11">
        <v>4</v>
      </c>
      <c r="G228" s="11">
        <v>2</v>
      </c>
      <c r="H228" s="13">
        <v>2374.2</v>
      </c>
      <c r="I228" s="13">
        <f>1642.5+145.8</f>
        <v>1788.3</v>
      </c>
      <c r="J228" s="13">
        <v>1419.92</v>
      </c>
      <c r="K228" s="36">
        <v>68</v>
      </c>
      <c r="L228" s="13">
        <f>'Таблица 2, 3 виды ремонта'!C219</f>
        <v>5905374</v>
      </c>
      <c r="M228" s="14">
        <v>0</v>
      </c>
      <c r="N228" s="14">
        <v>0</v>
      </c>
      <c r="O228" s="14">
        <v>0</v>
      </c>
      <c r="P228" s="13">
        <f t="shared" si="3"/>
        <v>5905374</v>
      </c>
      <c r="Q228" s="15" t="s">
        <v>602</v>
      </c>
    </row>
    <row r="229" spans="1:17" s="18" customFormat="1" ht="21.75" customHeight="1">
      <c r="A229" s="12" t="s">
        <v>250</v>
      </c>
      <c r="B229" s="10" t="s">
        <v>520</v>
      </c>
      <c r="C229" s="11" t="s">
        <v>98</v>
      </c>
      <c r="D229" s="12" t="s">
        <v>87</v>
      </c>
      <c r="E229" s="11" t="s">
        <v>89</v>
      </c>
      <c r="F229" s="11">
        <v>2</v>
      </c>
      <c r="G229" s="11">
        <v>2</v>
      </c>
      <c r="H229" s="13">
        <v>184.27</v>
      </c>
      <c r="I229" s="13">
        <v>172.27</v>
      </c>
      <c r="J229" s="13">
        <v>160.27</v>
      </c>
      <c r="K229" s="36">
        <v>10</v>
      </c>
      <c r="L229" s="13">
        <f>'Таблица 2, 3 виды ремонта'!C220</f>
        <v>736256</v>
      </c>
      <c r="M229" s="14">
        <v>0</v>
      </c>
      <c r="N229" s="14">
        <v>0</v>
      </c>
      <c r="O229" s="14">
        <v>0</v>
      </c>
      <c r="P229" s="13">
        <f t="shared" si="3"/>
        <v>736256</v>
      </c>
      <c r="Q229" s="15" t="s">
        <v>602</v>
      </c>
    </row>
    <row r="230" spans="1:17" s="18" customFormat="1" ht="21.75" customHeight="1">
      <c r="A230" s="12" t="s">
        <v>251</v>
      </c>
      <c r="B230" s="10" t="s">
        <v>521</v>
      </c>
      <c r="C230" s="11" t="s">
        <v>98</v>
      </c>
      <c r="D230" s="12" t="s">
        <v>87</v>
      </c>
      <c r="E230" s="11" t="s">
        <v>89</v>
      </c>
      <c r="F230" s="11">
        <v>2</v>
      </c>
      <c r="G230" s="11">
        <v>6</v>
      </c>
      <c r="H230" s="13">
        <f>230.2+982.74</f>
        <v>1212.94</v>
      </c>
      <c r="I230" s="13">
        <f>230.2+898.04+84.7</f>
        <v>1212.94</v>
      </c>
      <c r="J230" s="13">
        <v>958.04</v>
      </c>
      <c r="K230" s="37">
        <f>9+55</f>
        <v>64</v>
      </c>
      <c r="L230" s="13">
        <f>'Таблица 2, 3 виды ремонта'!C221</f>
        <v>5066398</v>
      </c>
      <c r="M230" s="14">
        <v>0</v>
      </c>
      <c r="N230" s="14">
        <v>0</v>
      </c>
      <c r="O230" s="14">
        <v>0</v>
      </c>
      <c r="P230" s="13">
        <f t="shared" si="3"/>
        <v>5066398</v>
      </c>
      <c r="Q230" s="15" t="s">
        <v>602</v>
      </c>
    </row>
    <row r="231" spans="1:17" s="18" customFormat="1" ht="21.75" customHeight="1">
      <c r="A231" s="12" t="s">
        <v>252</v>
      </c>
      <c r="B231" s="10" t="s">
        <v>522</v>
      </c>
      <c r="C231" s="11" t="s">
        <v>98</v>
      </c>
      <c r="D231" s="12" t="s">
        <v>87</v>
      </c>
      <c r="E231" s="11" t="s">
        <v>89</v>
      </c>
      <c r="F231" s="11">
        <v>2</v>
      </c>
      <c r="G231" s="11">
        <v>1</v>
      </c>
      <c r="H231" s="13">
        <v>621.3</v>
      </c>
      <c r="I231" s="13">
        <f>491.5+129.8</f>
        <v>621.3</v>
      </c>
      <c r="J231" s="13">
        <v>370.8</v>
      </c>
      <c r="K231" s="37">
        <v>19</v>
      </c>
      <c r="L231" s="13">
        <f>'Таблица 2, 3 виды ремонта'!C222</f>
        <v>2810850</v>
      </c>
      <c r="M231" s="14">
        <v>0</v>
      </c>
      <c r="N231" s="14">
        <v>0</v>
      </c>
      <c r="O231" s="14">
        <v>0</v>
      </c>
      <c r="P231" s="13">
        <f t="shared" si="3"/>
        <v>2810850</v>
      </c>
      <c r="Q231" s="15" t="s">
        <v>602</v>
      </c>
    </row>
    <row r="232" spans="1:17" s="18" customFormat="1" ht="21.75" customHeight="1">
      <c r="A232" s="12" t="s">
        <v>253</v>
      </c>
      <c r="B232" s="10" t="s">
        <v>523</v>
      </c>
      <c r="C232" s="11" t="s">
        <v>98</v>
      </c>
      <c r="D232" s="12" t="s">
        <v>87</v>
      </c>
      <c r="E232" s="11" t="s">
        <v>89</v>
      </c>
      <c r="F232" s="11">
        <v>2</v>
      </c>
      <c r="G232" s="11">
        <v>1</v>
      </c>
      <c r="H232" s="13">
        <v>761.8</v>
      </c>
      <c r="I232" s="13">
        <v>656.61</v>
      </c>
      <c r="J232" s="13">
        <v>497.02</v>
      </c>
      <c r="K232" s="37">
        <v>22</v>
      </c>
      <c r="L232" s="13">
        <f>'Таблица 2, 3 виды ремонта'!C223</f>
        <v>1819000</v>
      </c>
      <c r="M232" s="14">
        <v>0</v>
      </c>
      <c r="N232" s="14">
        <v>0</v>
      </c>
      <c r="O232" s="14">
        <v>0</v>
      </c>
      <c r="P232" s="13">
        <f t="shared" si="3"/>
        <v>1819000</v>
      </c>
      <c r="Q232" s="15" t="s">
        <v>602</v>
      </c>
    </row>
    <row r="233" spans="1:17" s="18" customFormat="1" ht="21.75" customHeight="1">
      <c r="A233" s="12" t="s">
        <v>254</v>
      </c>
      <c r="B233" s="10" t="s">
        <v>524</v>
      </c>
      <c r="C233" s="11" t="s">
        <v>98</v>
      </c>
      <c r="D233" s="12" t="s">
        <v>87</v>
      </c>
      <c r="E233" s="11" t="s">
        <v>89</v>
      </c>
      <c r="F233" s="11">
        <v>2</v>
      </c>
      <c r="G233" s="11">
        <v>2</v>
      </c>
      <c r="H233" s="13">
        <v>844</v>
      </c>
      <c r="I233" s="13">
        <v>578.7</v>
      </c>
      <c r="J233" s="13">
        <v>578.7</v>
      </c>
      <c r="K233" s="37">
        <v>51</v>
      </c>
      <c r="L233" s="13">
        <f>'Таблица 2, 3 виды ремонта'!C224</f>
        <v>2061850</v>
      </c>
      <c r="M233" s="14">
        <v>0</v>
      </c>
      <c r="N233" s="14">
        <v>0</v>
      </c>
      <c r="O233" s="14">
        <v>0</v>
      </c>
      <c r="P233" s="13">
        <f t="shared" si="3"/>
        <v>2061850</v>
      </c>
      <c r="Q233" s="15" t="s">
        <v>602</v>
      </c>
    </row>
    <row r="234" spans="1:17" s="18" customFormat="1" ht="21.75" customHeight="1">
      <c r="A234" s="12" t="s">
        <v>593</v>
      </c>
      <c r="B234" s="10" t="s">
        <v>525</v>
      </c>
      <c r="C234" s="11" t="s">
        <v>98</v>
      </c>
      <c r="D234" s="12" t="s">
        <v>87</v>
      </c>
      <c r="E234" s="11" t="s">
        <v>89</v>
      </c>
      <c r="F234" s="11">
        <v>2</v>
      </c>
      <c r="G234" s="11">
        <v>3</v>
      </c>
      <c r="H234" s="13">
        <v>761.8</v>
      </c>
      <c r="I234" s="13">
        <f>656.7+105.1</f>
        <v>761.8000000000001</v>
      </c>
      <c r="J234" s="13">
        <v>563.9000000000001</v>
      </c>
      <c r="K234" s="37">
        <v>23</v>
      </c>
      <c r="L234" s="13">
        <f>'Таблица 2, 3 виды ремонта'!C225</f>
        <v>2019000</v>
      </c>
      <c r="M234" s="14">
        <v>0</v>
      </c>
      <c r="N234" s="14">
        <v>0</v>
      </c>
      <c r="O234" s="14">
        <v>0</v>
      </c>
      <c r="P234" s="13">
        <f t="shared" si="3"/>
        <v>2019000</v>
      </c>
      <c r="Q234" s="15" t="s">
        <v>602</v>
      </c>
    </row>
    <row r="235" spans="1:17" s="18" customFormat="1" ht="21.75" customHeight="1">
      <c r="A235" s="12" t="s">
        <v>594</v>
      </c>
      <c r="B235" s="10" t="s">
        <v>526</v>
      </c>
      <c r="C235" s="11" t="s">
        <v>98</v>
      </c>
      <c r="D235" s="12" t="s">
        <v>87</v>
      </c>
      <c r="E235" s="11" t="s">
        <v>89</v>
      </c>
      <c r="F235" s="11">
        <v>2</v>
      </c>
      <c r="G235" s="11">
        <v>1</v>
      </c>
      <c r="H235" s="13">
        <v>1738.05</v>
      </c>
      <c r="I235" s="13">
        <f>1232.75+505.3</f>
        <v>1738.05</v>
      </c>
      <c r="J235" s="13">
        <v>808.25</v>
      </c>
      <c r="K235" s="36">
        <v>80</v>
      </c>
      <c r="L235" s="13">
        <f>'Таблица 2, 3 виды ремонта'!C226</f>
        <v>3433550</v>
      </c>
      <c r="M235" s="14">
        <v>0</v>
      </c>
      <c r="N235" s="14">
        <v>0</v>
      </c>
      <c r="O235" s="14">
        <v>0</v>
      </c>
      <c r="P235" s="13">
        <f t="shared" si="3"/>
        <v>3433550</v>
      </c>
      <c r="Q235" s="15" t="s">
        <v>602</v>
      </c>
    </row>
    <row r="236" spans="1:17" s="18" customFormat="1" ht="21.75" customHeight="1">
      <c r="A236" s="12" t="s">
        <v>255</v>
      </c>
      <c r="B236" s="10" t="s">
        <v>527</v>
      </c>
      <c r="C236" s="11">
        <v>1917</v>
      </c>
      <c r="D236" s="12" t="s">
        <v>87</v>
      </c>
      <c r="E236" s="11" t="s">
        <v>89</v>
      </c>
      <c r="F236" s="11">
        <v>2</v>
      </c>
      <c r="G236" s="11">
        <v>1</v>
      </c>
      <c r="H236" s="13">
        <v>1284.5</v>
      </c>
      <c r="I236" s="13">
        <f>847.44+376.71</f>
        <v>1224.15</v>
      </c>
      <c r="J236" s="13">
        <v>847.44</v>
      </c>
      <c r="K236" s="36">
        <v>56</v>
      </c>
      <c r="L236" s="13">
        <f>'Таблица 2, 3 виды ремонта'!C227</f>
        <v>2888300</v>
      </c>
      <c r="M236" s="14">
        <v>0</v>
      </c>
      <c r="N236" s="14">
        <v>0</v>
      </c>
      <c r="O236" s="14">
        <v>0</v>
      </c>
      <c r="P236" s="13">
        <f t="shared" si="3"/>
        <v>2888300</v>
      </c>
      <c r="Q236" s="15" t="s">
        <v>602</v>
      </c>
    </row>
    <row r="237" spans="1:17" s="18" customFormat="1" ht="21.75" customHeight="1">
      <c r="A237" s="12" t="s">
        <v>256</v>
      </c>
      <c r="B237" s="10" t="s">
        <v>528</v>
      </c>
      <c r="C237" s="11" t="s">
        <v>98</v>
      </c>
      <c r="D237" s="12" t="s">
        <v>87</v>
      </c>
      <c r="E237" s="11" t="s">
        <v>89</v>
      </c>
      <c r="F237" s="11">
        <v>2</v>
      </c>
      <c r="G237" s="11">
        <v>1</v>
      </c>
      <c r="H237" s="13">
        <v>1379.82</v>
      </c>
      <c r="I237" s="13">
        <v>1325.39</v>
      </c>
      <c r="J237" s="13">
        <v>854.32</v>
      </c>
      <c r="K237" s="36">
        <v>45</v>
      </c>
      <c r="L237" s="13">
        <f>'Таблица 2, 3 виды ремонта'!C228</f>
        <v>4696650</v>
      </c>
      <c r="M237" s="14">
        <v>0</v>
      </c>
      <c r="N237" s="14">
        <v>0</v>
      </c>
      <c r="O237" s="14">
        <v>0</v>
      </c>
      <c r="P237" s="13">
        <f t="shared" si="3"/>
        <v>4696650</v>
      </c>
      <c r="Q237" s="15" t="s">
        <v>602</v>
      </c>
    </row>
    <row r="238" spans="1:17" s="18" customFormat="1" ht="21.75" customHeight="1">
      <c r="A238" s="12" t="s">
        <v>257</v>
      </c>
      <c r="B238" s="44" t="s">
        <v>529</v>
      </c>
      <c r="C238" s="11" t="s">
        <v>98</v>
      </c>
      <c r="D238" s="12" t="s">
        <v>87</v>
      </c>
      <c r="E238" s="11" t="s">
        <v>89</v>
      </c>
      <c r="F238" s="11">
        <v>2</v>
      </c>
      <c r="G238" s="11">
        <v>2</v>
      </c>
      <c r="H238" s="13">
        <v>679.2</v>
      </c>
      <c r="I238" s="13">
        <v>567.92</v>
      </c>
      <c r="J238" s="13">
        <v>468.23999999999995</v>
      </c>
      <c r="K238" s="36">
        <v>31</v>
      </c>
      <c r="L238" s="13">
        <f>'Таблица 2, 3 виды ремонта'!C229</f>
        <v>2133681</v>
      </c>
      <c r="M238" s="14">
        <v>0</v>
      </c>
      <c r="N238" s="14">
        <v>0</v>
      </c>
      <c r="O238" s="14">
        <v>0</v>
      </c>
      <c r="P238" s="13">
        <f t="shared" si="3"/>
        <v>2133681</v>
      </c>
      <c r="Q238" s="15" t="s">
        <v>602</v>
      </c>
    </row>
    <row r="239" spans="1:17" s="18" customFormat="1" ht="21.75" customHeight="1">
      <c r="A239" s="12" t="s">
        <v>258</v>
      </c>
      <c r="B239" s="10" t="s">
        <v>530</v>
      </c>
      <c r="C239" s="11" t="s">
        <v>98</v>
      </c>
      <c r="D239" s="12" t="s">
        <v>87</v>
      </c>
      <c r="E239" s="11" t="s">
        <v>89</v>
      </c>
      <c r="F239" s="11">
        <v>2</v>
      </c>
      <c r="G239" s="11">
        <v>2</v>
      </c>
      <c r="H239" s="13">
        <v>1907.5</v>
      </c>
      <c r="I239" s="13">
        <f>1456.2+147.2</f>
        <v>1603.4</v>
      </c>
      <c r="J239" s="13">
        <v>1456.2</v>
      </c>
      <c r="K239" s="36">
        <v>38</v>
      </c>
      <c r="L239" s="13">
        <f>'Таблица 2, 3 виды ремонта'!C230</f>
        <v>5315728</v>
      </c>
      <c r="M239" s="14">
        <v>0</v>
      </c>
      <c r="N239" s="14">
        <v>0</v>
      </c>
      <c r="O239" s="14">
        <v>0</v>
      </c>
      <c r="P239" s="13">
        <f t="shared" si="3"/>
        <v>5315728</v>
      </c>
      <c r="Q239" s="15" t="s">
        <v>602</v>
      </c>
    </row>
    <row r="240" spans="1:17" s="18" customFormat="1" ht="21.75" customHeight="1">
      <c r="A240" s="12" t="s">
        <v>259</v>
      </c>
      <c r="B240" s="10" t="s">
        <v>531</v>
      </c>
      <c r="C240" s="11" t="s">
        <v>98</v>
      </c>
      <c r="D240" s="12" t="s">
        <v>87</v>
      </c>
      <c r="E240" s="11" t="s">
        <v>89</v>
      </c>
      <c r="F240" s="11">
        <v>2</v>
      </c>
      <c r="G240" s="11">
        <v>2</v>
      </c>
      <c r="H240" s="13">
        <v>1071.09</v>
      </c>
      <c r="I240" s="13">
        <f>869.69+199.8</f>
        <v>1069.49</v>
      </c>
      <c r="J240" s="13">
        <v>684.2900000000001</v>
      </c>
      <c r="K240" s="36">
        <v>24</v>
      </c>
      <c r="L240" s="13">
        <f>'Таблица 2, 3 виды ремонта'!C231</f>
        <v>2902350</v>
      </c>
      <c r="M240" s="14">
        <v>0</v>
      </c>
      <c r="N240" s="14">
        <v>0</v>
      </c>
      <c r="O240" s="14">
        <v>0</v>
      </c>
      <c r="P240" s="13">
        <f t="shared" si="3"/>
        <v>2902350</v>
      </c>
      <c r="Q240" s="15" t="s">
        <v>602</v>
      </c>
    </row>
    <row r="241" spans="1:17" s="18" customFormat="1" ht="21.75" customHeight="1">
      <c r="A241" s="12" t="s">
        <v>260</v>
      </c>
      <c r="B241" s="17" t="s">
        <v>324</v>
      </c>
      <c r="C241" s="12">
        <v>1917</v>
      </c>
      <c r="D241" s="12" t="s">
        <v>87</v>
      </c>
      <c r="E241" s="12" t="s">
        <v>89</v>
      </c>
      <c r="F241" s="12">
        <v>3</v>
      </c>
      <c r="G241" s="12">
        <v>1</v>
      </c>
      <c r="H241" s="14">
        <v>647.37</v>
      </c>
      <c r="I241" s="14">
        <v>108.87</v>
      </c>
      <c r="J241" s="14">
        <v>66.87</v>
      </c>
      <c r="K241" s="12">
        <v>10</v>
      </c>
      <c r="L241" s="13">
        <f>'Таблица 2, 3 виды ремонта'!C232</f>
        <v>250000</v>
      </c>
      <c r="M241" s="14">
        <v>0</v>
      </c>
      <c r="N241" s="14">
        <v>0</v>
      </c>
      <c r="O241" s="14">
        <v>0</v>
      </c>
      <c r="P241" s="13">
        <f t="shared" si="3"/>
        <v>250000</v>
      </c>
      <c r="Q241" s="15" t="s">
        <v>602</v>
      </c>
    </row>
    <row r="242" spans="1:17" s="18" customFormat="1" ht="21.75" customHeight="1">
      <c r="A242" s="12" t="s">
        <v>261</v>
      </c>
      <c r="B242" s="10" t="s">
        <v>532</v>
      </c>
      <c r="C242" s="12" t="s">
        <v>98</v>
      </c>
      <c r="D242" s="12" t="s">
        <v>87</v>
      </c>
      <c r="E242" s="12" t="s">
        <v>89</v>
      </c>
      <c r="F242" s="12">
        <v>2</v>
      </c>
      <c r="G242" s="12">
        <v>1</v>
      </c>
      <c r="H242" s="14">
        <v>525.48</v>
      </c>
      <c r="I242" s="14">
        <v>525.48</v>
      </c>
      <c r="J242" s="13">
        <v>525.48</v>
      </c>
      <c r="K242" s="23">
        <v>16</v>
      </c>
      <c r="L242" s="13">
        <f>'Таблица 2, 3 виды ремонта'!C233</f>
        <v>1861300</v>
      </c>
      <c r="M242" s="14">
        <v>0</v>
      </c>
      <c r="N242" s="14">
        <v>0</v>
      </c>
      <c r="O242" s="14">
        <v>0</v>
      </c>
      <c r="P242" s="13">
        <f t="shared" si="3"/>
        <v>1861300</v>
      </c>
      <c r="Q242" s="15" t="s">
        <v>602</v>
      </c>
    </row>
    <row r="243" spans="1:17" s="18" customFormat="1" ht="21.75" customHeight="1">
      <c r="A243" s="12" t="s">
        <v>262</v>
      </c>
      <c r="B243" s="17" t="s">
        <v>325</v>
      </c>
      <c r="C243" s="12">
        <v>1917</v>
      </c>
      <c r="D243" s="12" t="s">
        <v>87</v>
      </c>
      <c r="E243" s="12" t="s">
        <v>89</v>
      </c>
      <c r="F243" s="12">
        <v>3</v>
      </c>
      <c r="G243" s="12">
        <v>1</v>
      </c>
      <c r="H243" s="14">
        <v>724.08</v>
      </c>
      <c r="I243" s="14">
        <v>724.08</v>
      </c>
      <c r="J243" s="14">
        <v>189.98</v>
      </c>
      <c r="K243" s="12">
        <v>18</v>
      </c>
      <c r="L243" s="13">
        <f>'Таблица 2, 3 виды ремонта'!C234</f>
        <v>250000</v>
      </c>
      <c r="M243" s="14">
        <v>0</v>
      </c>
      <c r="N243" s="14">
        <v>0</v>
      </c>
      <c r="O243" s="14">
        <v>0</v>
      </c>
      <c r="P243" s="13">
        <f t="shared" si="3"/>
        <v>250000</v>
      </c>
      <c r="Q243" s="15" t="s">
        <v>602</v>
      </c>
    </row>
    <row r="244" spans="1:17" s="18" customFormat="1" ht="21.75" customHeight="1">
      <c r="A244" s="12" t="s">
        <v>263</v>
      </c>
      <c r="B244" s="10" t="s">
        <v>533</v>
      </c>
      <c r="C244" s="11">
        <v>1947</v>
      </c>
      <c r="D244" s="12" t="s">
        <v>87</v>
      </c>
      <c r="E244" s="11" t="s">
        <v>89</v>
      </c>
      <c r="F244" s="11">
        <v>2</v>
      </c>
      <c r="G244" s="11">
        <v>2</v>
      </c>
      <c r="H244" s="13">
        <v>506.25</v>
      </c>
      <c r="I244" s="13">
        <v>506.25</v>
      </c>
      <c r="J244" s="13">
        <v>462.65</v>
      </c>
      <c r="K244" s="36">
        <v>28</v>
      </c>
      <c r="L244" s="13">
        <f>'Таблица 2, 3 виды ремонта'!C235</f>
        <v>781714</v>
      </c>
      <c r="M244" s="14">
        <v>0</v>
      </c>
      <c r="N244" s="14">
        <v>0</v>
      </c>
      <c r="O244" s="14">
        <v>0</v>
      </c>
      <c r="P244" s="13">
        <f t="shared" si="3"/>
        <v>781714</v>
      </c>
      <c r="Q244" s="15" t="s">
        <v>99</v>
      </c>
    </row>
    <row r="245" spans="1:17" s="18" customFormat="1" ht="21.75" customHeight="1">
      <c r="A245" s="12" t="s">
        <v>264</v>
      </c>
      <c r="B245" s="16" t="s">
        <v>534</v>
      </c>
      <c r="C245" s="11">
        <v>1941</v>
      </c>
      <c r="D245" s="12" t="s">
        <v>87</v>
      </c>
      <c r="E245" s="11" t="s">
        <v>89</v>
      </c>
      <c r="F245" s="11">
        <v>3</v>
      </c>
      <c r="G245" s="11">
        <v>1</v>
      </c>
      <c r="H245" s="13">
        <v>992.8</v>
      </c>
      <c r="I245" s="13">
        <v>702.5</v>
      </c>
      <c r="J245" s="13">
        <v>702.5</v>
      </c>
      <c r="K245" s="36">
        <v>39</v>
      </c>
      <c r="L245" s="13">
        <f>'Таблица 2, 3 виды ремонта'!C236</f>
        <v>97959</v>
      </c>
      <c r="M245" s="14">
        <v>0</v>
      </c>
      <c r="N245" s="14">
        <v>0</v>
      </c>
      <c r="O245" s="14">
        <v>0</v>
      </c>
      <c r="P245" s="13">
        <f t="shared" si="3"/>
        <v>97959</v>
      </c>
      <c r="Q245" s="15" t="s">
        <v>602</v>
      </c>
    </row>
    <row r="246" spans="1:17" s="18" customFormat="1" ht="21.75" customHeight="1">
      <c r="A246" s="12" t="s">
        <v>595</v>
      </c>
      <c r="B246" s="10" t="s">
        <v>535</v>
      </c>
      <c r="C246" s="11">
        <v>1969</v>
      </c>
      <c r="D246" s="12" t="s">
        <v>87</v>
      </c>
      <c r="E246" s="11" t="s">
        <v>89</v>
      </c>
      <c r="F246" s="11">
        <v>5</v>
      </c>
      <c r="G246" s="11">
        <v>2</v>
      </c>
      <c r="H246" s="13">
        <v>3398.56</v>
      </c>
      <c r="I246" s="13">
        <v>2850</v>
      </c>
      <c r="J246" s="13">
        <v>2850</v>
      </c>
      <c r="K246" s="36">
        <v>241</v>
      </c>
      <c r="L246" s="13">
        <f>'Таблица 2, 3 виды ремонта'!C237</f>
        <v>187960</v>
      </c>
      <c r="M246" s="14">
        <v>0</v>
      </c>
      <c r="N246" s="14">
        <v>0</v>
      </c>
      <c r="O246" s="14">
        <v>0</v>
      </c>
      <c r="P246" s="13">
        <f t="shared" si="3"/>
        <v>187960</v>
      </c>
      <c r="Q246" s="15" t="s">
        <v>602</v>
      </c>
    </row>
    <row r="247" spans="1:17" s="18" customFormat="1" ht="21.75" customHeight="1">
      <c r="A247" s="12" t="s">
        <v>596</v>
      </c>
      <c r="B247" s="10" t="s">
        <v>536</v>
      </c>
      <c r="C247" s="11">
        <v>1962</v>
      </c>
      <c r="D247" s="12" t="s">
        <v>87</v>
      </c>
      <c r="E247" s="11" t="s">
        <v>89</v>
      </c>
      <c r="F247" s="11">
        <v>4</v>
      </c>
      <c r="G247" s="11">
        <v>2</v>
      </c>
      <c r="H247" s="13">
        <v>2030.86</v>
      </c>
      <c r="I247" s="13">
        <v>1347.7</v>
      </c>
      <c r="J247" s="13">
        <v>1347.7</v>
      </c>
      <c r="K247" s="36">
        <v>56</v>
      </c>
      <c r="L247" s="13">
        <f>'Таблица 2, 3 виды ремонта'!C238</f>
        <v>583382.6</v>
      </c>
      <c r="M247" s="14">
        <v>0</v>
      </c>
      <c r="N247" s="14">
        <v>0</v>
      </c>
      <c r="O247" s="14">
        <v>0</v>
      </c>
      <c r="P247" s="13">
        <f t="shared" si="3"/>
        <v>583382.6</v>
      </c>
      <c r="Q247" s="15" t="s">
        <v>602</v>
      </c>
    </row>
    <row r="248" spans="1:17" s="18" customFormat="1" ht="21.75" customHeight="1">
      <c r="A248" s="12" t="s">
        <v>597</v>
      </c>
      <c r="B248" s="10" t="s">
        <v>537</v>
      </c>
      <c r="C248" s="11">
        <v>1973</v>
      </c>
      <c r="D248" s="12" t="s">
        <v>87</v>
      </c>
      <c r="E248" s="11" t="s">
        <v>89</v>
      </c>
      <c r="F248" s="11">
        <v>5</v>
      </c>
      <c r="G248" s="11">
        <v>4</v>
      </c>
      <c r="H248" s="13">
        <v>3702.5</v>
      </c>
      <c r="I248" s="13">
        <v>3432.5</v>
      </c>
      <c r="J248" s="13">
        <v>2887.5</v>
      </c>
      <c r="K248" s="36">
        <v>154</v>
      </c>
      <c r="L248" s="13">
        <f>'Таблица 2, 3 виды ремонта'!C239</f>
        <v>960768.57</v>
      </c>
      <c r="M248" s="14">
        <v>0</v>
      </c>
      <c r="N248" s="14">
        <v>0</v>
      </c>
      <c r="O248" s="14">
        <v>0</v>
      </c>
      <c r="P248" s="13">
        <f t="shared" si="3"/>
        <v>960768.57</v>
      </c>
      <c r="Q248" s="15" t="s">
        <v>602</v>
      </c>
    </row>
    <row r="249" spans="1:17" s="18" customFormat="1" ht="21.75" customHeight="1">
      <c r="A249" s="12" t="s">
        <v>265</v>
      </c>
      <c r="B249" s="17" t="s">
        <v>326</v>
      </c>
      <c r="C249" s="12">
        <v>1917</v>
      </c>
      <c r="D249" s="12" t="s">
        <v>87</v>
      </c>
      <c r="E249" s="12" t="s">
        <v>329</v>
      </c>
      <c r="F249" s="12">
        <v>2</v>
      </c>
      <c r="G249" s="12">
        <v>1</v>
      </c>
      <c r="H249" s="14">
        <v>331.43</v>
      </c>
      <c r="I249" s="14">
        <v>331.43</v>
      </c>
      <c r="J249" s="14">
        <v>221.43</v>
      </c>
      <c r="K249" s="12">
        <v>16</v>
      </c>
      <c r="L249" s="13">
        <f>'Таблица 2, 3 виды ремонта'!C240</f>
        <v>250000</v>
      </c>
      <c r="M249" s="14">
        <v>0</v>
      </c>
      <c r="N249" s="14">
        <v>0</v>
      </c>
      <c r="O249" s="14">
        <v>0</v>
      </c>
      <c r="P249" s="13">
        <f t="shared" si="3"/>
        <v>250000</v>
      </c>
      <c r="Q249" s="15" t="s">
        <v>602</v>
      </c>
    </row>
    <row r="250" spans="1:17" s="18" customFormat="1" ht="21.75" customHeight="1">
      <c r="A250" s="12" t="s">
        <v>266</v>
      </c>
      <c r="B250" s="10" t="s">
        <v>538</v>
      </c>
      <c r="C250" s="11">
        <v>1917</v>
      </c>
      <c r="D250" s="12" t="s">
        <v>87</v>
      </c>
      <c r="E250" s="11" t="s">
        <v>89</v>
      </c>
      <c r="F250" s="11">
        <v>2</v>
      </c>
      <c r="G250" s="11">
        <v>2</v>
      </c>
      <c r="H250" s="13">
        <v>922.58</v>
      </c>
      <c r="I250" s="13">
        <v>922.58</v>
      </c>
      <c r="J250" s="13">
        <v>751.02</v>
      </c>
      <c r="K250" s="36">
        <v>42</v>
      </c>
      <c r="L250" s="13">
        <f>'Таблица 2, 3 виды ремонта'!C241</f>
        <v>584471</v>
      </c>
      <c r="M250" s="14">
        <v>0</v>
      </c>
      <c r="N250" s="14">
        <v>0</v>
      </c>
      <c r="O250" s="14">
        <v>0</v>
      </c>
      <c r="P250" s="13">
        <f t="shared" si="3"/>
        <v>584471</v>
      </c>
      <c r="Q250" s="15" t="s">
        <v>602</v>
      </c>
    </row>
    <row r="251" spans="1:17" s="18" customFormat="1" ht="21.75" customHeight="1">
      <c r="A251" s="12" t="s">
        <v>267</v>
      </c>
      <c r="B251" s="17" t="s">
        <v>327</v>
      </c>
      <c r="C251" s="12">
        <v>1917</v>
      </c>
      <c r="D251" s="12" t="s">
        <v>87</v>
      </c>
      <c r="E251" s="12" t="s">
        <v>89</v>
      </c>
      <c r="F251" s="12">
        <v>2</v>
      </c>
      <c r="G251" s="12">
        <v>2</v>
      </c>
      <c r="H251" s="14">
        <v>431.4</v>
      </c>
      <c r="I251" s="14">
        <v>431.4</v>
      </c>
      <c r="J251" s="14">
        <v>324.79999999999995</v>
      </c>
      <c r="K251" s="12">
        <v>32</v>
      </c>
      <c r="L251" s="13">
        <f>'Таблица 2, 3 виды ремонта'!C242</f>
        <v>250000</v>
      </c>
      <c r="M251" s="14">
        <v>0</v>
      </c>
      <c r="N251" s="14">
        <v>0</v>
      </c>
      <c r="O251" s="14">
        <v>0</v>
      </c>
      <c r="P251" s="13">
        <f t="shared" si="3"/>
        <v>250000</v>
      </c>
      <c r="Q251" s="15" t="s">
        <v>602</v>
      </c>
    </row>
    <row r="252" spans="1:17" s="18" customFormat="1" ht="21.75" customHeight="1">
      <c r="A252" s="12" t="s">
        <v>268</v>
      </c>
      <c r="B252" s="10" t="s">
        <v>539</v>
      </c>
      <c r="C252" s="11">
        <v>1970</v>
      </c>
      <c r="D252" s="12" t="s">
        <v>87</v>
      </c>
      <c r="E252" s="11" t="s">
        <v>88</v>
      </c>
      <c r="F252" s="11">
        <v>5</v>
      </c>
      <c r="G252" s="11">
        <v>3</v>
      </c>
      <c r="H252" s="13">
        <v>4151.67</v>
      </c>
      <c r="I252" s="13">
        <v>2569.97</v>
      </c>
      <c r="J252" s="13">
        <v>1585.5699999999997</v>
      </c>
      <c r="K252" s="36">
        <v>146</v>
      </c>
      <c r="L252" s="13">
        <f>'Таблица 2, 3 виды ремонта'!C243</f>
        <v>81532</v>
      </c>
      <c r="M252" s="14">
        <v>0</v>
      </c>
      <c r="N252" s="14">
        <v>0</v>
      </c>
      <c r="O252" s="14">
        <v>0</v>
      </c>
      <c r="P252" s="13">
        <f t="shared" si="3"/>
        <v>81532</v>
      </c>
      <c r="Q252" s="15" t="s">
        <v>602</v>
      </c>
    </row>
    <row r="253" spans="1:17" s="18" customFormat="1" ht="21.75" customHeight="1">
      <c r="A253" s="12" t="s">
        <v>269</v>
      </c>
      <c r="B253" s="10" t="s">
        <v>540</v>
      </c>
      <c r="C253" s="11">
        <v>1929</v>
      </c>
      <c r="D253" s="12" t="s">
        <v>87</v>
      </c>
      <c r="E253" s="11" t="s">
        <v>89</v>
      </c>
      <c r="F253" s="11">
        <v>5</v>
      </c>
      <c r="G253" s="11">
        <v>2</v>
      </c>
      <c r="H253" s="13">
        <v>5942.08</v>
      </c>
      <c r="I253" s="13">
        <f>3840.7+788</f>
        <v>4628.7</v>
      </c>
      <c r="J253" s="13">
        <v>2925.3799999999997</v>
      </c>
      <c r="K253" s="36">
        <v>287</v>
      </c>
      <c r="L253" s="13">
        <f>'Таблица 2, 3 виды ремонта'!C244</f>
        <v>2285000</v>
      </c>
      <c r="M253" s="14">
        <v>0</v>
      </c>
      <c r="N253" s="14">
        <v>0</v>
      </c>
      <c r="O253" s="14">
        <v>0</v>
      </c>
      <c r="P253" s="13">
        <f t="shared" si="3"/>
        <v>2285000</v>
      </c>
      <c r="Q253" s="15" t="s">
        <v>602</v>
      </c>
    </row>
    <row r="254" spans="1:17" s="18" customFormat="1" ht="21.75" customHeight="1">
      <c r="A254" s="12" t="s">
        <v>270</v>
      </c>
      <c r="B254" s="10" t="s">
        <v>541</v>
      </c>
      <c r="C254" s="11">
        <v>1966</v>
      </c>
      <c r="D254" s="12" t="s">
        <v>87</v>
      </c>
      <c r="E254" s="11" t="s">
        <v>89</v>
      </c>
      <c r="F254" s="11">
        <v>5</v>
      </c>
      <c r="G254" s="11">
        <v>3</v>
      </c>
      <c r="H254" s="13">
        <v>3249.7</v>
      </c>
      <c r="I254" s="13">
        <f>1822.6+406.72</f>
        <v>2229.3199999999997</v>
      </c>
      <c r="J254" s="13">
        <v>1697.1</v>
      </c>
      <c r="K254" s="36">
        <v>102</v>
      </c>
      <c r="L254" s="13">
        <f>'Таблица 2, 3 виды ремонта'!C245</f>
        <v>485307</v>
      </c>
      <c r="M254" s="14">
        <v>0</v>
      </c>
      <c r="N254" s="14">
        <v>0</v>
      </c>
      <c r="O254" s="14">
        <v>0</v>
      </c>
      <c r="P254" s="13">
        <f t="shared" si="3"/>
        <v>485307</v>
      </c>
      <c r="Q254" s="15" t="s">
        <v>99</v>
      </c>
    </row>
    <row r="255" spans="1:17" s="18" customFormat="1" ht="21.75" customHeight="1">
      <c r="A255" s="12" t="s">
        <v>271</v>
      </c>
      <c r="B255" s="17" t="s">
        <v>328</v>
      </c>
      <c r="C255" s="12">
        <v>1887</v>
      </c>
      <c r="D255" s="12" t="s">
        <v>87</v>
      </c>
      <c r="E255" s="12" t="s">
        <v>100</v>
      </c>
      <c r="F255" s="12">
        <v>2</v>
      </c>
      <c r="G255" s="12">
        <v>1</v>
      </c>
      <c r="H255" s="14">
        <v>582.15</v>
      </c>
      <c r="I255" s="14">
        <v>397.11</v>
      </c>
      <c r="J255" s="14">
        <v>397.11</v>
      </c>
      <c r="K255" s="12">
        <v>42</v>
      </c>
      <c r="L255" s="13">
        <f>'Таблица 2, 3 виды ремонта'!C246</f>
        <v>250000</v>
      </c>
      <c r="M255" s="14">
        <v>0</v>
      </c>
      <c r="N255" s="14">
        <v>0</v>
      </c>
      <c r="O255" s="14">
        <v>0</v>
      </c>
      <c r="P255" s="13">
        <f t="shared" si="3"/>
        <v>250000</v>
      </c>
      <c r="Q255" s="15" t="s">
        <v>602</v>
      </c>
    </row>
    <row r="256" spans="1:17" s="18" customFormat="1" ht="21.75" customHeight="1">
      <c r="A256" s="12" t="s">
        <v>272</v>
      </c>
      <c r="B256" s="10" t="s">
        <v>542</v>
      </c>
      <c r="C256" s="11" t="s">
        <v>297</v>
      </c>
      <c r="D256" s="12" t="s">
        <v>87</v>
      </c>
      <c r="E256" s="11" t="s">
        <v>100</v>
      </c>
      <c r="F256" s="11">
        <v>2</v>
      </c>
      <c r="G256" s="11">
        <v>2</v>
      </c>
      <c r="H256" s="13">
        <v>709.7</v>
      </c>
      <c r="I256" s="13">
        <v>612.1</v>
      </c>
      <c r="J256" s="13">
        <v>612.1</v>
      </c>
      <c r="K256" s="36">
        <v>36</v>
      </c>
      <c r="L256" s="13">
        <f>'Таблица 2, 3 виды ремонта'!C247</f>
        <v>427412.52</v>
      </c>
      <c r="M256" s="14">
        <v>0</v>
      </c>
      <c r="N256" s="14">
        <v>0</v>
      </c>
      <c r="O256" s="14">
        <v>0</v>
      </c>
      <c r="P256" s="13">
        <f t="shared" si="3"/>
        <v>427412.52</v>
      </c>
      <c r="Q256" s="15" t="s">
        <v>602</v>
      </c>
    </row>
    <row r="257" spans="1:17" s="18" customFormat="1" ht="21.75" customHeight="1">
      <c r="A257" s="12" t="s">
        <v>273</v>
      </c>
      <c r="B257" s="16" t="s">
        <v>543</v>
      </c>
      <c r="C257" s="11" t="s">
        <v>292</v>
      </c>
      <c r="D257" s="12" t="s">
        <v>87</v>
      </c>
      <c r="E257" s="11" t="s">
        <v>89</v>
      </c>
      <c r="F257" s="11">
        <v>10</v>
      </c>
      <c r="G257" s="11">
        <v>1</v>
      </c>
      <c r="H257" s="13">
        <v>2520.4</v>
      </c>
      <c r="I257" s="13">
        <f>1640.3+95.5</f>
        <v>1735.8</v>
      </c>
      <c r="J257" s="13">
        <v>1570.5</v>
      </c>
      <c r="K257" s="36">
        <v>96</v>
      </c>
      <c r="L257" s="13">
        <f>'Таблица 2, 3 виды ремонта'!C248</f>
        <v>1424775.14</v>
      </c>
      <c r="M257" s="14">
        <v>0</v>
      </c>
      <c r="N257" s="14">
        <v>0</v>
      </c>
      <c r="O257" s="14">
        <v>0</v>
      </c>
      <c r="P257" s="13">
        <f t="shared" si="3"/>
        <v>1424775.14</v>
      </c>
      <c r="Q257" s="15" t="s">
        <v>602</v>
      </c>
    </row>
    <row r="258" spans="1:17" s="18" customFormat="1" ht="21.75" customHeight="1">
      <c r="A258" s="12" t="s">
        <v>598</v>
      </c>
      <c r="B258" s="16" t="s">
        <v>544</v>
      </c>
      <c r="C258" s="11" t="s">
        <v>98</v>
      </c>
      <c r="D258" s="12" t="s">
        <v>87</v>
      </c>
      <c r="E258" s="11" t="s">
        <v>89</v>
      </c>
      <c r="F258" s="11">
        <v>5</v>
      </c>
      <c r="G258" s="11">
        <v>1</v>
      </c>
      <c r="H258" s="13">
        <v>807.49</v>
      </c>
      <c r="I258" s="13">
        <f>665.99+141.5</f>
        <v>807.49</v>
      </c>
      <c r="J258" s="13">
        <v>665.99</v>
      </c>
      <c r="K258" s="36">
        <v>31</v>
      </c>
      <c r="L258" s="13">
        <f>'Таблица 2, 3 виды ремонта'!C249</f>
        <v>1567634</v>
      </c>
      <c r="M258" s="14">
        <v>0</v>
      </c>
      <c r="N258" s="14">
        <v>0</v>
      </c>
      <c r="O258" s="14">
        <v>0</v>
      </c>
      <c r="P258" s="13">
        <f t="shared" si="3"/>
        <v>1567634</v>
      </c>
      <c r="Q258" s="15" t="s">
        <v>602</v>
      </c>
    </row>
    <row r="259" spans="1:17" s="18" customFormat="1" ht="21.75" customHeight="1">
      <c r="A259" s="12" t="s">
        <v>274</v>
      </c>
      <c r="B259" s="16" t="s">
        <v>545</v>
      </c>
      <c r="C259" s="11">
        <v>1970</v>
      </c>
      <c r="D259" s="12" t="s">
        <v>87</v>
      </c>
      <c r="E259" s="11" t="s">
        <v>89</v>
      </c>
      <c r="F259" s="11">
        <v>6</v>
      </c>
      <c r="G259" s="11">
        <v>3</v>
      </c>
      <c r="H259" s="13">
        <v>2888</v>
      </c>
      <c r="I259" s="13">
        <f>2627.8+260.2</f>
        <v>2888</v>
      </c>
      <c r="J259" s="13">
        <v>2522.4</v>
      </c>
      <c r="K259" s="36">
        <v>120</v>
      </c>
      <c r="L259" s="13">
        <f>'Таблица 2, 3 виды ремонта'!C250</f>
        <v>7500000</v>
      </c>
      <c r="M259" s="14">
        <v>0</v>
      </c>
      <c r="N259" s="14">
        <v>0</v>
      </c>
      <c r="O259" s="14">
        <v>0</v>
      </c>
      <c r="P259" s="13">
        <f t="shared" si="3"/>
        <v>7500000</v>
      </c>
      <c r="Q259" s="15" t="s">
        <v>602</v>
      </c>
    </row>
    <row r="260" spans="1:17" s="18" customFormat="1" ht="21.75" customHeight="1">
      <c r="A260" s="12" t="s">
        <v>275</v>
      </c>
      <c r="B260" s="16" t="s">
        <v>546</v>
      </c>
      <c r="C260" s="11">
        <v>1917</v>
      </c>
      <c r="D260" s="12" t="s">
        <v>87</v>
      </c>
      <c r="E260" s="11" t="s">
        <v>89</v>
      </c>
      <c r="F260" s="11">
        <v>2</v>
      </c>
      <c r="G260" s="11">
        <v>3</v>
      </c>
      <c r="H260" s="13">
        <v>600.8</v>
      </c>
      <c r="I260" s="13">
        <v>600.8</v>
      </c>
      <c r="J260" s="13">
        <v>600.8</v>
      </c>
      <c r="K260" s="36">
        <v>31</v>
      </c>
      <c r="L260" s="13">
        <f>'Таблица 2, 3 виды ремонта'!C251</f>
        <v>1063248</v>
      </c>
      <c r="M260" s="14">
        <v>0</v>
      </c>
      <c r="N260" s="14">
        <v>0</v>
      </c>
      <c r="O260" s="14">
        <v>0</v>
      </c>
      <c r="P260" s="13">
        <f t="shared" si="3"/>
        <v>1063248</v>
      </c>
      <c r="Q260" s="15" t="s">
        <v>602</v>
      </c>
    </row>
    <row r="261" spans="1:17" s="18" customFormat="1" ht="21.75" customHeight="1">
      <c r="A261" s="12" t="s">
        <v>617</v>
      </c>
      <c r="B261" s="16" t="s">
        <v>547</v>
      </c>
      <c r="C261" s="12">
        <v>1950</v>
      </c>
      <c r="D261" s="12" t="s">
        <v>87</v>
      </c>
      <c r="E261" s="12" t="s">
        <v>89</v>
      </c>
      <c r="F261" s="12">
        <v>4</v>
      </c>
      <c r="G261" s="12">
        <v>2</v>
      </c>
      <c r="H261" s="14">
        <v>1438.7</v>
      </c>
      <c r="I261" s="14">
        <f>832.8+57.2</f>
        <v>890</v>
      </c>
      <c r="J261" s="13">
        <v>577.6999999999999</v>
      </c>
      <c r="K261" s="23">
        <v>24</v>
      </c>
      <c r="L261" s="13">
        <f>'Таблица 2, 3 виды ремонта'!C252</f>
        <v>1357588</v>
      </c>
      <c r="M261" s="14">
        <v>0</v>
      </c>
      <c r="N261" s="14">
        <v>0</v>
      </c>
      <c r="O261" s="14">
        <v>0</v>
      </c>
      <c r="P261" s="13">
        <f t="shared" si="3"/>
        <v>1357588</v>
      </c>
      <c r="Q261" s="15" t="s">
        <v>602</v>
      </c>
    </row>
    <row r="262" spans="1:17" s="18" customFormat="1" ht="21.75" customHeight="1">
      <c r="A262" s="12" t="s">
        <v>276</v>
      </c>
      <c r="B262" s="10" t="s">
        <v>548</v>
      </c>
      <c r="C262" s="11">
        <v>1917</v>
      </c>
      <c r="D262" s="12" t="s">
        <v>87</v>
      </c>
      <c r="E262" s="11" t="s">
        <v>89</v>
      </c>
      <c r="F262" s="11">
        <v>2</v>
      </c>
      <c r="G262" s="11">
        <v>2</v>
      </c>
      <c r="H262" s="13">
        <v>940</v>
      </c>
      <c r="I262" s="13">
        <v>562.2</v>
      </c>
      <c r="J262" s="13">
        <v>562.2</v>
      </c>
      <c r="K262" s="36">
        <v>13</v>
      </c>
      <c r="L262" s="13">
        <f>'Таблица 2, 3 виды ремонта'!C253</f>
        <v>1603699</v>
      </c>
      <c r="M262" s="14">
        <v>0</v>
      </c>
      <c r="N262" s="14">
        <v>0</v>
      </c>
      <c r="O262" s="14">
        <v>0</v>
      </c>
      <c r="P262" s="13">
        <f aca="true" t="shared" si="4" ref="P262:P289">L262</f>
        <v>1603699</v>
      </c>
      <c r="Q262" s="15" t="s">
        <v>602</v>
      </c>
    </row>
    <row r="263" spans="1:17" s="18" customFormat="1" ht="21.75" customHeight="1">
      <c r="A263" s="12" t="s">
        <v>277</v>
      </c>
      <c r="B263" s="16" t="s">
        <v>549</v>
      </c>
      <c r="C263" s="11">
        <v>1973</v>
      </c>
      <c r="D263" s="12" t="s">
        <v>87</v>
      </c>
      <c r="E263" s="11" t="s">
        <v>89</v>
      </c>
      <c r="F263" s="11">
        <v>9</v>
      </c>
      <c r="G263" s="11">
        <v>4</v>
      </c>
      <c r="H263" s="13">
        <v>11746.4</v>
      </c>
      <c r="I263" s="13">
        <v>9416</v>
      </c>
      <c r="J263" s="13">
        <v>9416</v>
      </c>
      <c r="K263" s="36">
        <v>321</v>
      </c>
      <c r="L263" s="13">
        <f>'Таблица 2, 3 виды ремонта'!C254</f>
        <v>500000</v>
      </c>
      <c r="M263" s="14">
        <v>0</v>
      </c>
      <c r="N263" s="14">
        <v>0</v>
      </c>
      <c r="O263" s="14">
        <v>0</v>
      </c>
      <c r="P263" s="13">
        <f t="shared" si="4"/>
        <v>500000</v>
      </c>
      <c r="Q263" s="15" t="s">
        <v>602</v>
      </c>
    </row>
    <row r="264" spans="1:17" s="18" customFormat="1" ht="21.75" customHeight="1">
      <c r="A264" s="12" t="s">
        <v>278</v>
      </c>
      <c r="B264" s="10" t="s">
        <v>550</v>
      </c>
      <c r="C264" s="11">
        <v>1952</v>
      </c>
      <c r="D264" s="12" t="s">
        <v>87</v>
      </c>
      <c r="E264" s="11" t="s">
        <v>89</v>
      </c>
      <c r="F264" s="11">
        <v>2</v>
      </c>
      <c r="G264" s="11">
        <v>2</v>
      </c>
      <c r="H264" s="13">
        <v>574.4</v>
      </c>
      <c r="I264" s="13">
        <v>379.5</v>
      </c>
      <c r="J264" s="13">
        <v>273.9</v>
      </c>
      <c r="K264" s="36">
        <v>22</v>
      </c>
      <c r="L264" s="13">
        <f>'Таблица 2, 3 виды ремонта'!C255</f>
        <v>987539.79</v>
      </c>
      <c r="M264" s="14">
        <v>0</v>
      </c>
      <c r="N264" s="14">
        <v>0</v>
      </c>
      <c r="O264" s="14">
        <v>0</v>
      </c>
      <c r="P264" s="13">
        <f t="shared" si="4"/>
        <v>987539.79</v>
      </c>
      <c r="Q264" s="15" t="s">
        <v>602</v>
      </c>
    </row>
    <row r="265" spans="1:17" s="18" customFormat="1" ht="21.75" customHeight="1">
      <c r="A265" s="12" t="s">
        <v>279</v>
      </c>
      <c r="B265" s="10" t="s">
        <v>551</v>
      </c>
      <c r="C265" s="11">
        <v>1959</v>
      </c>
      <c r="D265" s="12" t="s">
        <v>87</v>
      </c>
      <c r="E265" s="11" t="s">
        <v>89</v>
      </c>
      <c r="F265" s="11">
        <v>2</v>
      </c>
      <c r="G265" s="11">
        <v>3</v>
      </c>
      <c r="H265" s="13">
        <v>907.8</v>
      </c>
      <c r="I265" s="13">
        <v>907.8</v>
      </c>
      <c r="J265" s="13">
        <v>523.4</v>
      </c>
      <c r="K265" s="36">
        <v>53</v>
      </c>
      <c r="L265" s="13">
        <f>'Таблица 2, 3 виды ремонта'!C256</f>
        <v>1186748.46</v>
      </c>
      <c r="M265" s="14">
        <v>0</v>
      </c>
      <c r="N265" s="14">
        <v>0</v>
      </c>
      <c r="O265" s="14">
        <v>0</v>
      </c>
      <c r="P265" s="13">
        <f t="shared" si="4"/>
        <v>1186748.46</v>
      </c>
      <c r="Q265" s="15" t="s">
        <v>602</v>
      </c>
    </row>
    <row r="266" spans="1:17" s="18" customFormat="1" ht="21.75" customHeight="1">
      <c r="A266" s="12" t="s">
        <v>599</v>
      </c>
      <c r="B266" s="10" t="s">
        <v>552</v>
      </c>
      <c r="C266" s="11">
        <v>1959</v>
      </c>
      <c r="D266" s="12" t="s">
        <v>87</v>
      </c>
      <c r="E266" s="11" t="s">
        <v>89</v>
      </c>
      <c r="F266" s="11">
        <v>2</v>
      </c>
      <c r="G266" s="11">
        <v>2</v>
      </c>
      <c r="H266" s="13">
        <v>659.6</v>
      </c>
      <c r="I266" s="13">
        <v>659.6</v>
      </c>
      <c r="J266" s="13">
        <v>659.6</v>
      </c>
      <c r="K266" s="36">
        <v>53</v>
      </c>
      <c r="L266" s="13">
        <f>'Таблица 2, 3 виды ремонта'!C257</f>
        <v>791816.99</v>
      </c>
      <c r="M266" s="14">
        <v>0</v>
      </c>
      <c r="N266" s="14">
        <v>0</v>
      </c>
      <c r="O266" s="14">
        <v>0</v>
      </c>
      <c r="P266" s="13">
        <f t="shared" si="4"/>
        <v>791816.99</v>
      </c>
      <c r="Q266" s="15" t="s">
        <v>602</v>
      </c>
    </row>
    <row r="267" spans="1:17" s="18" customFormat="1" ht="21.75" customHeight="1">
      <c r="A267" s="12" t="s">
        <v>280</v>
      </c>
      <c r="B267" s="10" t="s">
        <v>553</v>
      </c>
      <c r="C267" s="11">
        <v>1959</v>
      </c>
      <c r="D267" s="12" t="s">
        <v>87</v>
      </c>
      <c r="E267" s="11" t="s">
        <v>89</v>
      </c>
      <c r="F267" s="11">
        <v>2</v>
      </c>
      <c r="G267" s="11">
        <v>2</v>
      </c>
      <c r="H267" s="13">
        <v>659.6</v>
      </c>
      <c r="I267" s="13">
        <v>659.6</v>
      </c>
      <c r="J267" s="13">
        <v>319.81</v>
      </c>
      <c r="K267" s="36">
        <v>18</v>
      </c>
      <c r="L267" s="13">
        <f>'Таблица 2, 3 виды ремонта'!C258</f>
        <v>991172.28</v>
      </c>
      <c r="M267" s="14">
        <v>0</v>
      </c>
      <c r="N267" s="14">
        <v>0</v>
      </c>
      <c r="O267" s="14">
        <v>0</v>
      </c>
      <c r="P267" s="13">
        <f t="shared" si="4"/>
        <v>991172.28</v>
      </c>
      <c r="Q267" s="15" t="s">
        <v>602</v>
      </c>
    </row>
    <row r="268" spans="1:17" s="18" customFormat="1" ht="21.75" customHeight="1">
      <c r="A268" s="12" t="s">
        <v>281</v>
      </c>
      <c r="B268" s="10" t="s">
        <v>554</v>
      </c>
      <c r="C268" s="11">
        <v>1959</v>
      </c>
      <c r="D268" s="12" t="s">
        <v>87</v>
      </c>
      <c r="E268" s="11" t="s">
        <v>89</v>
      </c>
      <c r="F268" s="11">
        <v>2</v>
      </c>
      <c r="G268" s="11">
        <v>3</v>
      </c>
      <c r="H268" s="13">
        <v>1196</v>
      </c>
      <c r="I268" s="13">
        <v>897.2</v>
      </c>
      <c r="J268" s="13">
        <v>867.2</v>
      </c>
      <c r="K268" s="36">
        <v>53</v>
      </c>
      <c r="L268" s="13">
        <f>'Таблица 2, 3 виды ремонта'!C259</f>
        <v>1186748.46</v>
      </c>
      <c r="M268" s="14">
        <v>0</v>
      </c>
      <c r="N268" s="14">
        <v>0</v>
      </c>
      <c r="O268" s="14">
        <v>0</v>
      </c>
      <c r="P268" s="13">
        <f t="shared" si="4"/>
        <v>1186748.46</v>
      </c>
      <c r="Q268" s="15" t="s">
        <v>602</v>
      </c>
    </row>
    <row r="269" spans="1:17" s="18" customFormat="1" ht="21.75" customHeight="1">
      <c r="A269" s="12" t="s">
        <v>282</v>
      </c>
      <c r="B269" s="10" t="s">
        <v>555</v>
      </c>
      <c r="C269" s="11">
        <v>1958</v>
      </c>
      <c r="D269" s="12" t="s">
        <v>87</v>
      </c>
      <c r="E269" s="11" t="s">
        <v>89</v>
      </c>
      <c r="F269" s="11">
        <v>2</v>
      </c>
      <c r="G269" s="11">
        <v>3</v>
      </c>
      <c r="H269" s="13">
        <v>1404</v>
      </c>
      <c r="I269" s="13">
        <v>1404</v>
      </c>
      <c r="J269" s="13">
        <v>1212.6</v>
      </c>
      <c r="K269" s="36">
        <v>53</v>
      </c>
      <c r="L269" s="13">
        <f>'Таблица 2, 3 виды ремонта'!C260</f>
        <v>1152064.93</v>
      </c>
      <c r="M269" s="14">
        <v>0</v>
      </c>
      <c r="N269" s="14">
        <v>0</v>
      </c>
      <c r="O269" s="14">
        <v>0</v>
      </c>
      <c r="P269" s="13">
        <f t="shared" si="4"/>
        <v>1152064.93</v>
      </c>
      <c r="Q269" s="15" t="s">
        <v>602</v>
      </c>
    </row>
    <row r="270" spans="1:17" s="18" customFormat="1" ht="21.75" customHeight="1">
      <c r="A270" s="12" t="s">
        <v>283</v>
      </c>
      <c r="B270" s="10" t="s">
        <v>556</v>
      </c>
      <c r="C270" s="11">
        <v>1950</v>
      </c>
      <c r="D270" s="12" t="s">
        <v>87</v>
      </c>
      <c r="E270" s="11" t="s">
        <v>89</v>
      </c>
      <c r="F270" s="11">
        <v>2</v>
      </c>
      <c r="G270" s="11">
        <v>2</v>
      </c>
      <c r="H270" s="13">
        <v>774.8</v>
      </c>
      <c r="I270" s="13">
        <v>705.8</v>
      </c>
      <c r="J270" s="13">
        <v>705.8</v>
      </c>
      <c r="K270" s="36">
        <v>40</v>
      </c>
      <c r="L270" s="13">
        <f>'Таблица 2, 3 виды ремонта'!C261</f>
        <v>1036056.52</v>
      </c>
      <c r="M270" s="14">
        <v>0</v>
      </c>
      <c r="N270" s="14">
        <v>0</v>
      </c>
      <c r="O270" s="14">
        <v>0</v>
      </c>
      <c r="P270" s="13">
        <f t="shared" si="4"/>
        <v>1036056.52</v>
      </c>
      <c r="Q270" s="15" t="s">
        <v>99</v>
      </c>
    </row>
    <row r="271" spans="1:17" s="18" customFormat="1" ht="21.75" customHeight="1">
      <c r="A271" s="12" t="s">
        <v>284</v>
      </c>
      <c r="B271" s="10" t="s">
        <v>557</v>
      </c>
      <c r="C271" s="11">
        <v>1950</v>
      </c>
      <c r="D271" s="12" t="s">
        <v>87</v>
      </c>
      <c r="E271" s="11" t="s">
        <v>89</v>
      </c>
      <c r="F271" s="11">
        <v>2</v>
      </c>
      <c r="G271" s="11">
        <v>2</v>
      </c>
      <c r="H271" s="13">
        <v>809.5</v>
      </c>
      <c r="I271" s="13">
        <v>740.5</v>
      </c>
      <c r="J271" s="13">
        <v>692.5</v>
      </c>
      <c r="K271" s="36">
        <v>43</v>
      </c>
      <c r="L271" s="13">
        <f>'Таблица 2, 3 виды ремонта'!C262</f>
        <v>988078.9</v>
      </c>
      <c r="M271" s="14">
        <v>0</v>
      </c>
      <c r="N271" s="14">
        <v>0</v>
      </c>
      <c r="O271" s="14">
        <v>0</v>
      </c>
      <c r="P271" s="13">
        <f t="shared" si="4"/>
        <v>988078.9</v>
      </c>
      <c r="Q271" s="15" t="s">
        <v>99</v>
      </c>
    </row>
    <row r="272" spans="1:17" s="18" customFormat="1" ht="21.75" customHeight="1">
      <c r="A272" s="12" t="s">
        <v>285</v>
      </c>
      <c r="B272" s="16" t="s">
        <v>558</v>
      </c>
      <c r="C272" s="11">
        <v>1941</v>
      </c>
      <c r="D272" s="12" t="s">
        <v>87</v>
      </c>
      <c r="E272" s="11" t="s">
        <v>89</v>
      </c>
      <c r="F272" s="11">
        <v>4</v>
      </c>
      <c r="G272" s="11">
        <v>2</v>
      </c>
      <c r="H272" s="13">
        <v>1126.1</v>
      </c>
      <c r="I272" s="13">
        <v>754.6</v>
      </c>
      <c r="J272" s="13">
        <v>754.6</v>
      </c>
      <c r="K272" s="36">
        <v>42</v>
      </c>
      <c r="L272" s="13">
        <f>'Таблица 2, 3 виды ремонта'!C263</f>
        <v>687087</v>
      </c>
      <c r="M272" s="14">
        <v>0</v>
      </c>
      <c r="N272" s="14">
        <v>0</v>
      </c>
      <c r="O272" s="14">
        <v>0</v>
      </c>
      <c r="P272" s="13">
        <f t="shared" si="4"/>
        <v>687087</v>
      </c>
      <c r="Q272" s="15" t="s">
        <v>602</v>
      </c>
    </row>
    <row r="273" spans="1:17" s="18" customFormat="1" ht="21.75" customHeight="1">
      <c r="A273" s="12" t="s">
        <v>286</v>
      </c>
      <c r="B273" s="16" t="s">
        <v>559</v>
      </c>
      <c r="C273" s="11">
        <v>1936</v>
      </c>
      <c r="D273" s="12" t="s">
        <v>87</v>
      </c>
      <c r="E273" s="11" t="s">
        <v>89</v>
      </c>
      <c r="F273" s="11">
        <v>2.4</v>
      </c>
      <c r="G273" s="11">
        <v>4</v>
      </c>
      <c r="H273" s="13">
        <v>2487.7</v>
      </c>
      <c r="I273" s="13">
        <f>2347+75.7</f>
        <v>2422.7</v>
      </c>
      <c r="J273" s="13">
        <v>1799.7</v>
      </c>
      <c r="K273" s="36">
        <v>130</v>
      </c>
      <c r="L273" s="13">
        <f>'Таблица 2, 3 виды ремонта'!C264</f>
        <v>525881</v>
      </c>
      <c r="M273" s="14">
        <v>0</v>
      </c>
      <c r="N273" s="14">
        <v>0</v>
      </c>
      <c r="O273" s="14">
        <v>0</v>
      </c>
      <c r="P273" s="13">
        <f t="shared" si="4"/>
        <v>525881</v>
      </c>
      <c r="Q273" s="15" t="s">
        <v>602</v>
      </c>
    </row>
    <row r="274" spans="1:17" s="18" customFormat="1" ht="21.75" customHeight="1">
      <c r="A274" s="12" t="s">
        <v>287</v>
      </c>
      <c r="B274" s="10" t="s">
        <v>560</v>
      </c>
      <c r="C274" s="11">
        <v>1968</v>
      </c>
      <c r="D274" s="12" t="s">
        <v>87</v>
      </c>
      <c r="E274" s="11" t="s">
        <v>88</v>
      </c>
      <c r="F274" s="11">
        <v>5</v>
      </c>
      <c r="G274" s="11">
        <v>6</v>
      </c>
      <c r="H274" s="13">
        <v>4397.3</v>
      </c>
      <c r="I274" s="13">
        <v>3981</v>
      </c>
      <c r="J274" s="13">
        <v>3595.92</v>
      </c>
      <c r="K274" s="36">
        <v>174</v>
      </c>
      <c r="L274" s="13">
        <f>'Таблица 2, 3 виды ремонта'!C265</f>
        <v>2260267.7</v>
      </c>
      <c r="M274" s="14">
        <v>0</v>
      </c>
      <c r="N274" s="14">
        <v>0</v>
      </c>
      <c r="O274" s="14">
        <v>0</v>
      </c>
      <c r="P274" s="13">
        <f t="shared" si="4"/>
        <v>2260267.7</v>
      </c>
      <c r="Q274" s="15" t="s">
        <v>602</v>
      </c>
    </row>
    <row r="275" spans="1:17" s="18" customFormat="1" ht="21.75" customHeight="1">
      <c r="A275" s="12" t="s">
        <v>288</v>
      </c>
      <c r="B275" s="10" t="s">
        <v>561</v>
      </c>
      <c r="C275" s="11">
        <v>1966</v>
      </c>
      <c r="D275" s="12" t="s">
        <v>87</v>
      </c>
      <c r="E275" s="11" t="s">
        <v>88</v>
      </c>
      <c r="F275" s="11">
        <v>5</v>
      </c>
      <c r="G275" s="11">
        <v>6</v>
      </c>
      <c r="H275" s="13">
        <v>4357.4</v>
      </c>
      <c r="I275" s="13">
        <v>3967.4</v>
      </c>
      <c r="J275" s="13">
        <v>3622.1</v>
      </c>
      <c r="K275" s="36">
        <v>168</v>
      </c>
      <c r="L275" s="13">
        <f>'Таблица 2, 3 виды ремонта'!C266</f>
        <v>2515460</v>
      </c>
      <c r="M275" s="14">
        <v>0</v>
      </c>
      <c r="N275" s="14">
        <v>0</v>
      </c>
      <c r="O275" s="14">
        <v>0</v>
      </c>
      <c r="P275" s="13">
        <f t="shared" si="4"/>
        <v>2515460</v>
      </c>
      <c r="Q275" s="15" t="s">
        <v>602</v>
      </c>
    </row>
    <row r="276" spans="1:17" s="18" customFormat="1" ht="21.75" customHeight="1">
      <c r="A276" s="12" t="s">
        <v>289</v>
      </c>
      <c r="B276" s="10" t="s">
        <v>562</v>
      </c>
      <c r="C276" s="11">
        <v>1972</v>
      </c>
      <c r="D276" s="12" t="s">
        <v>87</v>
      </c>
      <c r="E276" s="11" t="s">
        <v>88</v>
      </c>
      <c r="F276" s="11">
        <v>5</v>
      </c>
      <c r="G276" s="11">
        <v>6</v>
      </c>
      <c r="H276" s="13">
        <v>4395.4</v>
      </c>
      <c r="I276" s="13">
        <v>3990.4</v>
      </c>
      <c r="J276" s="13">
        <v>3738.08</v>
      </c>
      <c r="K276" s="36">
        <v>188</v>
      </c>
      <c r="L276" s="13">
        <f>'Таблица 2, 3 виды ремонта'!C267</f>
        <v>2878319</v>
      </c>
      <c r="M276" s="14">
        <v>0</v>
      </c>
      <c r="N276" s="14">
        <v>0</v>
      </c>
      <c r="O276" s="14">
        <v>0</v>
      </c>
      <c r="P276" s="13">
        <f t="shared" si="4"/>
        <v>2878319</v>
      </c>
      <c r="Q276" s="15" t="s">
        <v>602</v>
      </c>
    </row>
    <row r="277" spans="1:17" s="18" customFormat="1" ht="21.75" customHeight="1">
      <c r="A277" s="12" t="s">
        <v>600</v>
      </c>
      <c r="B277" s="10" t="s">
        <v>563</v>
      </c>
      <c r="C277" s="11">
        <v>1975</v>
      </c>
      <c r="D277" s="12" t="s">
        <v>87</v>
      </c>
      <c r="E277" s="11" t="s">
        <v>88</v>
      </c>
      <c r="F277" s="11">
        <v>5</v>
      </c>
      <c r="G277" s="11">
        <v>6</v>
      </c>
      <c r="H277" s="13">
        <v>4363.5</v>
      </c>
      <c r="I277" s="13">
        <v>3953</v>
      </c>
      <c r="J277" s="13">
        <v>3661.7</v>
      </c>
      <c r="K277" s="36">
        <v>192</v>
      </c>
      <c r="L277" s="13">
        <f>'Таблица 2, 3 виды ремонта'!C268</f>
        <v>2600863</v>
      </c>
      <c r="M277" s="14">
        <v>0</v>
      </c>
      <c r="N277" s="14">
        <v>0</v>
      </c>
      <c r="O277" s="14">
        <v>0</v>
      </c>
      <c r="P277" s="13">
        <f t="shared" si="4"/>
        <v>2600863</v>
      </c>
      <c r="Q277" s="15" t="s">
        <v>602</v>
      </c>
    </row>
    <row r="278" spans="1:17" s="18" customFormat="1" ht="21.75" customHeight="1">
      <c r="A278" s="12" t="s">
        <v>601</v>
      </c>
      <c r="B278" s="10" t="s">
        <v>564</v>
      </c>
      <c r="C278" s="11">
        <v>1988</v>
      </c>
      <c r="D278" s="12" t="s">
        <v>87</v>
      </c>
      <c r="E278" s="11" t="s">
        <v>88</v>
      </c>
      <c r="F278" s="11">
        <v>9</v>
      </c>
      <c r="G278" s="11">
        <v>5</v>
      </c>
      <c r="H278" s="13">
        <v>11986.17</v>
      </c>
      <c r="I278" s="13">
        <f>9952.77+819.4</f>
        <v>10772.17</v>
      </c>
      <c r="J278" s="13">
        <v>9151.060000000001</v>
      </c>
      <c r="K278" s="36">
        <v>417</v>
      </c>
      <c r="L278" s="13">
        <f>'Таблица 2, 3 виды ремонта'!C269</f>
        <v>1915738</v>
      </c>
      <c r="M278" s="14">
        <v>0</v>
      </c>
      <c r="N278" s="14">
        <v>0</v>
      </c>
      <c r="O278" s="14">
        <v>0</v>
      </c>
      <c r="P278" s="13">
        <f t="shared" si="4"/>
        <v>1915738</v>
      </c>
      <c r="Q278" s="15" t="s">
        <v>602</v>
      </c>
    </row>
    <row r="279" spans="1:17" s="18" customFormat="1" ht="21.75" customHeight="1">
      <c r="A279" s="12" t="s">
        <v>290</v>
      </c>
      <c r="B279" s="20" t="s">
        <v>565</v>
      </c>
      <c r="C279" s="11">
        <v>1992</v>
      </c>
      <c r="D279" s="12" t="s">
        <v>87</v>
      </c>
      <c r="E279" s="11" t="s">
        <v>88</v>
      </c>
      <c r="F279" s="11">
        <v>10</v>
      </c>
      <c r="G279" s="11">
        <v>9</v>
      </c>
      <c r="H279" s="13">
        <v>21933.94</v>
      </c>
      <c r="I279" s="13">
        <f>19595.44+63.5</f>
        <v>19658.94</v>
      </c>
      <c r="J279" s="13">
        <v>18449.25</v>
      </c>
      <c r="K279" s="36">
        <v>832</v>
      </c>
      <c r="L279" s="13">
        <f>'Таблица 2, 3 виды ремонта'!C270</f>
        <v>6890534</v>
      </c>
      <c r="M279" s="14">
        <v>0</v>
      </c>
      <c r="N279" s="14">
        <v>0</v>
      </c>
      <c r="O279" s="14">
        <v>0</v>
      </c>
      <c r="P279" s="13">
        <f t="shared" si="4"/>
        <v>6890534</v>
      </c>
      <c r="Q279" s="15" t="s">
        <v>602</v>
      </c>
    </row>
    <row r="280" spans="1:17" s="18" customFormat="1" ht="21.75" customHeight="1">
      <c r="A280" s="12" t="s">
        <v>291</v>
      </c>
      <c r="B280" s="20" t="s">
        <v>566</v>
      </c>
      <c r="C280" s="11">
        <v>1966</v>
      </c>
      <c r="D280" s="12" t="s">
        <v>87</v>
      </c>
      <c r="E280" s="11" t="s">
        <v>89</v>
      </c>
      <c r="F280" s="11">
        <v>5</v>
      </c>
      <c r="G280" s="11">
        <v>3</v>
      </c>
      <c r="H280" s="13">
        <v>2769</v>
      </c>
      <c r="I280" s="13">
        <v>2260.9</v>
      </c>
      <c r="J280" s="13">
        <v>1896.1</v>
      </c>
      <c r="K280" s="36">
        <v>105</v>
      </c>
      <c r="L280" s="13">
        <f>'Таблица 2, 3 виды ремонта'!C271</f>
        <v>1324076.82</v>
      </c>
      <c r="M280" s="14">
        <v>0</v>
      </c>
      <c r="N280" s="14">
        <v>0</v>
      </c>
      <c r="O280" s="14">
        <v>0</v>
      </c>
      <c r="P280" s="13">
        <f t="shared" si="4"/>
        <v>1324076.82</v>
      </c>
      <c r="Q280" s="15" t="s">
        <v>99</v>
      </c>
    </row>
    <row r="281" spans="1:17" s="18" customFormat="1" ht="21.75" customHeight="1">
      <c r="A281" s="12" t="s">
        <v>336</v>
      </c>
      <c r="B281" s="19" t="s">
        <v>567</v>
      </c>
      <c r="C281" s="11">
        <v>1983</v>
      </c>
      <c r="D281" s="12" t="s">
        <v>87</v>
      </c>
      <c r="E281" s="11" t="s">
        <v>89</v>
      </c>
      <c r="F281" s="11">
        <v>5</v>
      </c>
      <c r="G281" s="11">
        <v>2</v>
      </c>
      <c r="H281" s="13">
        <v>4078.1</v>
      </c>
      <c r="I281" s="13">
        <f>3774.7+303.4</f>
        <v>4078.1</v>
      </c>
      <c r="J281" s="13">
        <v>3774.7</v>
      </c>
      <c r="K281" s="36">
        <v>244</v>
      </c>
      <c r="L281" s="13">
        <f>'Таблица 2, 3 виды ремонта'!C272</f>
        <v>6303046</v>
      </c>
      <c r="M281" s="14">
        <v>0</v>
      </c>
      <c r="N281" s="14">
        <v>0</v>
      </c>
      <c r="O281" s="14">
        <v>0</v>
      </c>
      <c r="P281" s="13">
        <f t="shared" si="4"/>
        <v>6303046</v>
      </c>
      <c r="Q281" s="15" t="s">
        <v>602</v>
      </c>
    </row>
    <row r="282" spans="1:17" s="18" customFormat="1" ht="21.75" customHeight="1">
      <c r="A282" s="12" t="s">
        <v>337</v>
      </c>
      <c r="B282" s="10" t="s">
        <v>568</v>
      </c>
      <c r="C282" s="11">
        <v>1961</v>
      </c>
      <c r="D282" s="12" t="s">
        <v>87</v>
      </c>
      <c r="E282" s="11" t="s">
        <v>89</v>
      </c>
      <c r="F282" s="11">
        <v>4</v>
      </c>
      <c r="G282" s="11">
        <v>3</v>
      </c>
      <c r="H282" s="13">
        <v>2644.9</v>
      </c>
      <c r="I282" s="13">
        <f>1491.2+493.7</f>
        <v>1984.9</v>
      </c>
      <c r="J282" s="13">
        <v>1436</v>
      </c>
      <c r="K282" s="36">
        <v>74</v>
      </c>
      <c r="L282" s="13">
        <f>'Таблица 2, 3 виды ремонта'!C273</f>
        <v>1390816.44</v>
      </c>
      <c r="M282" s="14">
        <v>0</v>
      </c>
      <c r="N282" s="14">
        <v>0</v>
      </c>
      <c r="O282" s="14">
        <v>0</v>
      </c>
      <c r="P282" s="13">
        <f t="shared" si="4"/>
        <v>1390816.44</v>
      </c>
      <c r="Q282" s="15" t="s">
        <v>99</v>
      </c>
    </row>
    <row r="283" spans="1:17" s="18" customFormat="1" ht="21.75" customHeight="1">
      <c r="A283" s="12" t="s">
        <v>338</v>
      </c>
      <c r="B283" s="10" t="s">
        <v>569</v>
      </c>
      <c r="C283" s="11">
        <v>1962</v>
      </c>
      <c r="D283" s="12" t="s">
        <v>87</v>
      </c>
      <c r="E283" s="11" t="s">
        <v>89</v>
      </c>
      <c r="F283" s="11">
        <v>3</v>
      </c>
      <c r="G283" s="11">
        <v>2</v>
      </c>
      <c r="H283" s="13">
        <v>1149.4</v>
      </c>
      <c r="I283" s="13">
        <f>1002.14+129</f>
        <v>1131.1399999999999</v>
      </c>
      <c r="J283" s="13">
        <v>951.62</v>
      </c>
      <c r="K283" s="36">
        <v>61</v>
      </c>
      <c r="L283" s="13">
        <f>'Таблица 2, 3 виды ремонта'!C274</f>
        <v>129277</v>
      </c>
      <c r="M283" s="14">
        <v>0</v>
      </c>
      <c r="N283" s="14">
        <v>0</v>
      </c>
      <c r="O283" s="14">
        <v>0</v>
      </c>
      <c r="P283" s="13">
        <f t="shared" si="4"/>
        <v>129277</v>
      </c>
      <c r="Q283" s="15" t="s">
        <v>602</v>
      </c>
    </row>
    <row r="284" spans="1:17" s="18" customFormat="1" ht="21.75" customHeight="1">
      <c r="A284" s="12" t="s">
        <v>339</v>
      </c>
      <c r="B284" s="10" t="s">
        <v>570</v>
      </c>
      <c r="C284" s="11">
        <v>1962</v>
      </c>
      <c r="D284" s="12" t="s">
        <v>87</v>
      </c>
      <c r="E284" s="11" t="s">
        <v>89</v>
      </c>
      <c r="F284" s="11">
        <v>5</v>
      </c>
      <c r="G284" s="11">
        <v>2</v>
      </c>
      <c r="H284" s="13">
        <v>1701.5</v>
      </c>
      <c r="I284" s="13">
        <f>1260.7+316.8</f>
        <v>1577.5</v>
      </c>
      <c r="J284" s="13">
        <v>1260.7</v>
      </c>
      <c r="K284" s="36">
        <v>65</v>
      </c>
      <c r="L284" s="13">
        <f>'Таблица 2, 3 виды ремонта'!C275</f>
        <v>543530</v>
      </c>
      <c r="M284" s="14">
        <v>0</v>
      </c>
      <c r="N284" s="14">
        <v>0</v>
      </c>
      <c r="O284" s="14">
        <v>0</v>
      </c>
      <c r="P284" s="13">
        <f t="shared" si="4"/>
        <v>543530</v>
      </c>
      <c r="Q284" s="15" t="s">
        <v>99</v>
      </c>
    </row>
    <row r="285" spans="1:17" s="18" customFormat="1" ht="21.75" customHeight="1">
      <c r="A285" s="12" t="s">
        <v>340</v>
      </c>
      <c r="B285" s="10" t="s">
        <v>571</v>
      </c>
      <c r="C285" s="11">
        <v>1973</v>
      </c>
      <c r="D285" s="12" t="s">
        <v>87</v>
      </c>
      <c r="E285" s="11" t="s">
        <v>89</v>
      </c>
      <c r="F285" s="11">
        <v>9</v>
      </c>
      <c r="G285" s="11">
        <v>2</v>
      </c>
      <c r="H285" s="13">
        <v>5188.92</v>
      </c>
      <c r="I285" s="13">
        <f>4989.52+199.4</f>
        <v>5188.92</v>
      </c>
      <c r="J285" s="13">
        <v>4989.52</v>
      </c>
      <c r="K285" s="36">
        <v>210</v>
      </c>
      <c r="L285" s="13">
        <f>'Таблица 2, 3 виды ремонта'!C276</f>
        <v>3219225.33</v>
      </c>
      <c r="M285" s="14">
        <v>0</v>
      </c>
      <c r="N285" s="14">
        <v>0</v>
      </c>
      <c r="O285" s="14">
        <v>0</v>
      </c>
      <c r="P285" s="13">
        <f t="shared" si="4"/>
        <v>3219225.33</v>
      </c>
      <c r="Q285" s="15" t="s">
        <v>602</v>
      </c>
    </row>
    <row r="286" spans="1:17" s="18" customFormat="1" ht="21.75" customHeight="1">
      <c r="A286" s="12" t="s">
        <v>341</v>
      </c>
      <c r="B286" s="10" t="s">
        <v>572</v>
      </c>
      <c r="C286" s="11">
        <v>1976</v>
      </c>
      <c r="D286" s="12" t="s">
        <v>87</v>
      </c>
      <c r="E286" s="11" t="s">
        <v>89</v>
      </c>
      <c r="F286" s="11">
        <v>9</v>
      </c>
      <c r="G286" s="11">
        <v>2</v>
      </c>
      <c r="H286" s="13">
        <v>5487.49</v>
      </c>
      <c r="I286" s="13">
        <f>5194.49+293</f>
        <v>5487.49</v>
      </c>
      <c r="J286" s="13">
        <v>5194.49</v>
      </c>
      <c r="K286" s="36">
        <v>205</v>
      </c>
      <c r="L286" s="13">
        <f>'Таблица 2, 3 виды ремонта'!C277</f>
        <v>612200</v>
      </c>
      <c r="M286" s="14">
        <v>0</v>
      </c>
      <c r="N286" s="14">
        <v>0</v>
      </c>
      <c r="O286" s="14">
        <v>0</v>
      </c>
      <c r="P286" s="13">
        <f t="shared" si="4"/>
        <v>612200</v>
      </c>
      <c r="Q286" s="15" t="s">
        <v>99</v>
      </c>
    </row>
    <row r="287" spans="1:17" s="18" customFormat="1" ht="21.75" customHeight="1">
      <c r="A287" s="12" t="s">
        <v>342</v>
      </c>
      <c r="B287" s="10" t="s">
        <v>573</v>
      </c>
      <c r="C287" s="11">
        <v>1976</v>
      </c>
      <c r="D287" s="12" t="s">
        <v>87</v>
      </c>
      <c r="E287" s="11" t="s">
        <v>88</v>
      </c>
      <c r="F287" s="11">
        <v>9</v>
      </c>
      <c r="G287" s="11">
        <v>2</v>
      </c>
      <c r="H287" s="13">
        <v>3828.55</v>
      </c>
      <c r="I287" s="13">
        <v>3828.55</v>
      </c>
      <c r="J287" s="13">
        <v>3828.55</v>
      </c>
      <c r="K287" s="36">
        <v>177</v>
      </c>
      <c r="L287" s="13">
        <f>'Таблица 2, 3 виды ремонта'!C278</f>
        <v>612200</v>
      </c>
      <c r="M287" s="14">
        <v>0</v>
      </c>
      <c r="N287" s="14">
        <v>0</v>
      </c>
      <c r="O287" s="14">
        <v>0</v>
      </c>
      <c r="P287" s="13">
        <f t="shared" si="4"/>
        <v>612200</v>
      </c>
      <c r="Q287" s="15" t="s">
        <v>99</v>
      </c>
    </row>
    <row r="288" spans="1:17" s="18" customFormat="1" ht="21.75" customHeight="1">
      <c r="A288" s="12" t="s">
        <v>343</v>
      </c>
      <c r="B288" s="10" t="s">
        <v>574</v>
      </c>
      <c r="C288" s="11">
        <v>1984</v>
      </c>
      <c r="D288" s="12" t="s">
        <v>87</v>
      </c>
      <c r="E288" s="11" t="s">
        <v>89</v>
      </c>
      <c r="F288" s="11">
        <v>9</v>
      </c>
      <c r="G288" s="11">
        <v>2</v>
      </c>
      <c r="H288" s="13">
        <v>5004</v>
      </c>
      <c r="I288" s="13">
        <v>3988.2</v>
      </c>
      <c r="J288" s="13">
        <v>3988.2</v>
      </c>
      <c r="K288" s="36">
        <v>218</v>
      </c>
      <c r="L288" s="13">
        <f>'Таблица 2, 3 виды ремонта'!C279</f>
        <v>475520</v>
      </c>
      <c r="M288" s="14">
        <v>0</v>
      </c>
      <c r="N288" s="14">
        <v>0</v>
      </c>
      <c r="O288" s="14">
        <v>0</v>
      </c>
      <c r="P288" s="13">
        <f t="shared" si="4"/>
        <v>475520</v>
      </c>
      <c r="Q288" s="15" t="s">
        <v>99</v>
      </c>
    </row>
    <row r="289" spans="1:17" s="18" customFormat="1" ht="21.75" customHeight="1">
      <c r="A289" s="12" t="s">
        <v>344</v>
      </c>
      <c r="B289" s="10" t="s">
        <v>575</v>
      </c>
      <c r="C289" s="11">
        <v>1960</v>
      </c>
      <c r="D289" s="12" t="s">
        <v>87</v>
      </c>
      <c r="E289" s="11" t="s">
        <v>89</v>
      </c>
      <c r="F289" s="11">
        <v>4</v>
      </c>
      <c r="G289" s="11">
        <v>3</v>
      </c>
      <c r="H289" s="13">
        <v>2045.2</v>
      </c>
      <c r="I289" s="13">
        <v>1394.2</v>
      </c>
      <c r="J289" s="13">
        <v>1394.2</v>
      </c>
      <c r="K289" s="36">
        <v>96</v>
      </c>
      <c r="L289" s="13">
        <f>'Таблица 2, 3 виды ремонта'!C280</f>
        <v>1368842.5</v>
      </c>
      <c r="M289" s="14">
        <v>0</v>
      </c>
      <c r="N289" s="14">
        <v>0</v>
      </c>
      <c r="O289" s="14">
        <v>0</v>
      </c>
      <c r="P289" s="13">
        <f t="shared" si="4"/>
        <v>1368842.5</v>
      </c>
      <c r="Q289" s="15" t="s">
        <v>99</v>
      </c>
    </row>
    <row r="290" spans="1:17" s="24" customFormat="1" ht="21.75" customHeight="1">
      <c r="A290" s="48"/>
      <c r="B290" s="22" t="s">
        <v>14</v>
      </c>
      <c r="C290" s="22" t="s">
        <v>14</v>
      </c>
      <c r="D290" s="22" t="s">
        <v>14</v>
      </c>
      <c r="E290" s="22" t="s">
        <v>14</v>
      </c>
      <c r="F290" s="22" t="s">
        <v>14</v>
      </c>
      <c r="G290" s="22" t="s">
        <v>14</v>
      </c>
      <c r="H290" s="14">
        <f aca="true" t="shared" si="5" ref="H290:P290">SUM(H20:H289)</f>
        <v>688075.1000000002</v>
      </c>
      <c r="I290" s="14">
        <f t="shared" si="5"/>
        <v>593623.55</v>
      </c>
      <c r="J290" s="14">
        <f t="shared" si="5"/>
        <v>488279.79999999976</v>
      </c>
      <c r="K290" s="23">
        <f t="shared" si="5"/>
        <v>27705</v>
      </c>
      <c r="L290" s="14">
        <f t="shared" si="5"/>
        <v>345161549.2599998</v>
      </c>
      <c r="M290" s="14">
        <f t="shared" si="5"/>
        <v>0</v>
      </c>
      <c r="N290" s="14">
        <f t="shared" si="5"/>
        <v>0</v>
      </c>
      <c r="O290" s="14">
        <f t="shared" si="5"/>
        <v>0</v>
      </c>
      <c r="P290" s="14">
        <f t="shared" si="5"/>
        <v>345161549.2599998</v>
      </c>
      <c r="Q290" s="22" t="s">
        <v>14</v>
      </c>
    </row>
    <row r="291" spans="1:17" ht="13.5">
      <c r="A291" s="7"/>
      <c r="B291" s="8"/>
      <c r="C291" s="9"/>
      <c r="D291" s="9"/>
      <c r="E291" s="9"/>
      <c r="F291" s="9"/>
      <c r="G291" s="9"/>
      <c r="H291" s="9"/>
      <c r="I291" s="9"/>
      <c r="J291" s="8"/>
      <c r="K291" s="8"/>
      <c r="L291" s="9"/>
      <c r="M291" s="9"/>
      <c r="N291" s="9"/>
      <c r="O291" s="9"/>
      <c r="P291" s="9"/>
      <c r="Q291" s="1"/>
    </row>
    <row r="292" spans="2:17" ht="13.5">
      <c r="B292" s="5"/>
      <c r="Q292" s="1"/>
    </row>
    <row r="293" spans="2:17" ht="13.5">
      <c r="B293" s="5"/>
      <c r="Q293" s="1"/>
    </row>
    <row r="294" spans="2:17" ht="13.5">
      <c r="B294" s="5"/>
      <c r="Q294" s="1"/>
    </row>
    <row r="295" spans="2:17" ht="13.5">
      <c r="B295" s="5"/>
      <c r="Q295" s="1"/>
    </row>
    <row r="296" spans="2:17" ht="13.5">
      <c r="B296" s="5"/>
      <c r="Q296" s="1"/>
    </row>
    <row r="297" spans="2:17" ht="13.5">
      <c r="B297" s="5"/>
      <c r="Q297" s="1"/>
    </row>
    <row r="298" spans="2:17" ht="13.5">
      <c r="B298" s="5"/>
      <c r="Q298" s="1"/>
    </row>
    <row r="299" spans="2:17" ht="13.5">
      <c r="B299" s="5"/>
      <c r="Q299" s="1"/>
    </row>
    <row r="300" spans="2:17" ht="13.5">
      <c r="B300" s="5"/>
      <c r="Q300" s="1"/>
    </row>
    <row r="301" spans="2:17" ht="13.5">
      <c r="B301" s="5"/>
      <c r="Q301" s="1"/>
    </row>
    <row r="302" spans="2:17" ht="13.5">
      <c r="B302" s="5"/>
      <c r="Q302" s="1"/>
    </row>
    <row r="303" spans="2:17" ht="13.5">
      <c r="B303" s="5"/>
      <c r="Q303" s="1"/>
    </row>
    <row r="304" spans="2:17" ht="13.5">
      <c r="B304" s="5"/>
      <c r="Q304" s="1"/>
    </row>
  </sheetData>
  <sheetProtection/>
  <mergeCells count="26">
    <mergeCell ref="C14:D14"/>
    <mergeCell ref="C15:C17"/>
    <mergeCell ref="F14:F17"/>
    <mergeCell ref="H14:H16"/>
    <mergeCell ref="I14:J14"/>
    <mergeCell ref="D15:D17"/>
    <mergeCell ref="E14:E17"/>
    <mergeCell ref="A19:Q19"/>
    <mergeCell ref="A12:Q12"/>
    <mergeCell ref="A8:Q8"/>
    <mergeCell ref="P10:Q10"/>
    <mergeCell ref="Q14:Q17"/>
    <mergeCell ref="I15:I16"/>
    <mergeCell ref="K14:K16"/>
    <mergeCell ref="L14:P14"/>
    <mergeCell ref="A14:A17"/>
    <mergeCell ref="B14:B17"/>
    <mergeCell ref="N1:Q1"/>
    <mergeCell ref="N2:Q2"/>
    <mergeCell ref="N3:Q3"/>
    <mergeCell ref="N4:Q4"/>
    <mergeCell ref="L15:L16"/>
    <mergeCell ref="G14:G17"/>
    <mergeCell ref="J15:J16"/>
    <mergeCell ref="M15:P15"/>
    <mergeCell ref="N5:Q5"/>
  </mergeCells>
  <printOptions horizontalCentered="1"/>
  <pageMargins left="0.1968503937007874" right="0.1968503937007874" top="1.1811023622047245" bottom="0.3937007874015748" header="0" footer="0"/>
  <pageSetup firstPageNumber="2" useFirstPageNumber="1" horizontalDpi="600" verticalDpi="600" orientation="landscape" paperSize="9" scale="64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W303"/>
  <sheetViews>
    <sheetView view="pageBreakPreview" zoomScale="80" zoomScaleSheetLayoutView="80" workbookViewId="0" topLeftCell="A1">
      <selection activeCell="A302" sqref="A300:IV302"/>
    </sheetView>
  </sheetViews>
  <sheetFormatPr defaultColWidth="9.140625" defaultRowHeight="15"/>
  <cols>
    <col min="1" max="1" width="5.7109375" style="18" customWidth="1"/>
    <col min="2" max="2" width="65.140625" style="18" customWidth="1"/>
    <col min="3" max="3" width="14.7109375" style="18" customWidth="1"/>
    <col min="4" max="5" width="13.8515625" style="18" customWidth="1"/>
    <col min="6" max="6" width="7.7109375" style="18" customWidth="1"/>
    <col min="7" max="7" width="14.140625" style="18" customWidth="1"/>
    <col min="8" max="8" width="14.28125" style="18" customWidth="1"/>
    <col min="9" max="9" width="13.140625" style="18" customWidth="1"/>
    <col min="10" max="10" width="6.7109375" style="18" customWidth="1"/>
    <col min="11" max="11" width="13.140625" style="18" customWidth="1"/>
    <col min="12" max="12" width="11.421875" style="18" customWidth="1"/>
    <col min="13" max="13" width="14.8515625" style="18" customWidth="1"/>
    <col min="14" max="14" width="8.28125" style="18" customWidth="1"/>
    <col min="15" max="15" width="13.00390625" style="18" customWidth="1"/>
    <col min="16" max="16" width="11.140625" style="24" customWidth="1"/>
    <col min="17" max="17" width="13.28125" style="24" customWidth="1"/>
    <col min="18" max="18" width="8.7109375" style="18" customWidth="1"/>
    <col min="19" max="19" width="6.8515625" style="18" customWidth="1"/>
    <col min="20" max="20" width="7.421875" style="18" customWidth="1"/>
    <col min="21" max="21" width="14.00390625" style="18" customWidth="1"/>
    <col min="22" max="22" width="16.00390625" style="24" customWidth="1"/>
    <col min="23" max="23" width="13.00390625" style="24" customWidth="1"/>
    <col min="24" max="16384" width="9.140625" style="18" customWidth="1"/>
  </cols>
  <sheetData>
    <row r="1" spans="22:23" ht="15" customHeight="1">
      <c r="V1" s="75" t="s">
        <v>170</v>
      </c>
      <c r="W1" s="75"/>
    </row>
    <row r="2" spans="19:23" ht="15" customHeight="1">
      <c r="S2" s="27"/>
      <c r="T2" s="27"/>
      <c r="U2" s="28"/>
      <c r="W2" s="29"/>
    </row>
    <row r="3" spans="1:23" ht="15" customHeight="1">
      <c r="A3" s="61" t="s">
        <v>171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24" customFormat="1" ht="75.75" customHeight="1">
      <c r="A5" s="58" t="s">
        <v>172</v>
      </c>
      <c r="B5" s="58" t="s">
        <v>1</v>
      </c>
      <c r="C5" s="67" t="s">
        <v>173</v>
      </c>
      <c r="D5" s="58" t="s">
        <v>174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77" t="s">
        <v>175</v>
      </c>
      <c r="T5" s="78"/>
      <c r="U5" s="79"/>
      <c r="V5" s="79"/>
      <c r="W5" s="80"/>
    </row>
    <row r="6" spans="1:23" s="24" customFormat="1" ht="70.5" customHeight="1">
      <c r="A6" s="58"/>
      <c r="B6" s="58"/>
      <c r="C6" s="76"/>
      <c r="D6" s="64" t="s">
        <v>176</v>
      </c>
      <c r="E6" s="65"/>
      <c r="F6" s="65"/>
      <c r="G6" s="65"/>
      <c r="H6" s="65"/>
      <c r="I6" s="66"/>
      <c r="J6" s="69" t="s">
        <v>177</v>
      </c>
      <c r="K6" s="70"/>
      <c r="L6" s="69" t="s">
        <v>178</v>
      </c>
      <c r="M6" s="70"/>
      <c r="N6" s="69" t="s">
        <v>179</v>
      </c>
      <c r="O6" s="70"/>
      <c r="P6" s="69" t="s">
        <v>180</v>
      </c>
      <c r="Q6" s="70"/>
      <c r="R6" s="67" t="s">
        <v>181</v>
      </c>
      <c r="S6" s="69" t="s">
        <v>182</v>
      </c>
      <c r="T6" s="70"/>
      <c r="U6" s="67" t="s">
        <v>183</v>
      </c>
      <c r="V6" s="74" t="s">
        <v>184</v>
      </c>
      <c r="W6" s="67" t="s">
        <v>185</v>
      </c>
    </row>
    <row r="7" spans="1:23" s="24" customFormat="1" ht="228.75" customHeight="1">
      <c r="A7" s="58"/>
      <c r="B7" s="58"/>
      <c r="C7" s="68"/>
      <c r="D7" s="25" t="s">
        <v>186</v>
      </c>
      <c r="E7" s="25" t="s">
        <v>187</v>
      </c>
      <c r="F7" s="25" t="s">
        <v>293</v>
      </c>
      <c r="G7" s="25" t="s">
        <v>188</v>
      </c>
      <c r="H7" s="25" t="s">
        <v>189</v>
      </c>
      <c r="I7" s="25" t="s">
        <v>190</v>
      </c>
      <c r="J7" s="71"/>
      <c r="K7" s="72"/>
      <c r="L7" s="71"/>
      <c r="M7" s="72"/>
      <c r="N7" s="71"/>
      <c r="O7" s="72"/>
      <c r="P7" s="71"/>
      <c r="Q7" s="72"/>
      <c r="R7" s="68"/>
      <c r="S7" s="71"/>
      <c r="T7" s="72"/>
      <c r="U7" s="73"/>
      <c r="V7" s="73"/>
      <c r="W7" s="68"/>
    </row>
    <row r="8" spans="1:23" ht="18.75" customHeight="1">
      <c r="A8" s="58"/>
      <c r="B8" s="58"/>
      <c r="C8" s="25" t="s">
        <v>13</v>
      </c>
      <c r="D8" s="25" t="s">
        <v>13</v>
      </c>
      <c r="E8" s="25" t="s">
        <v>13</v>
      </c>
      <c r="F8" s="25" t="s">
        <v>13</v>
      </c>
      <c r="G8" s="25" t="s">
        <v>13</v>
      </c>
      <c r="H8" s="25" t="s">
        <v>13</v>
      </c>
      <c r="I8" s="25" t="s">
        <v>13</v>
      </c>
      <c r="J8" s="25" t="s">
        <v>191</v>
      </c>
      <c r="K8" s="25" t="s">
        <v>13</v>
      </c>
      <c r="L8" s="25" t="s">
        <v>93</v>
      </c>
      <c r="M8" s="25" t="s">
        <v>13</v>
      </c>
      <c r="N8" s="25" t="s">
        <v>93</v>
      </c>
      <c r="O8" s="25" t="s">
        <v>13</v>
      </c>
      <c r="P8" s="25" t="s">
        <v>93</v>
      </c>
      <c r="Q8" s="25" t="s">
        <v>13</v>
      </c>
      <c r="R8" s="25" t="s">
        <v>13</v>
      </c>
      <c r="S8" s="25" t="s">
        <v>93</v>
      </c>
      <c r="T8" s="25" t="s">
        <v>13</v>
      </c>
      <c r="U8" s="25" t="s">
        <v>192</v>
      </c>
      <c r="V8" s="25" t="s">
        <v>13</v>
      </c>
      <c r="W8" s="25" t="s">
        <v>13</v>
      </c>
    </row>
    <row r="9" spans="1:23" ht="19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</row>
    <row r="10" spans="1:23" ht="19.5" customHeight="1">
      <c r="A10" s="60" t="s">
        <v>193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19.5" customHeight="1">
      <c r="A11" s="12" t="s">
        <v>15</v>
      </c>
      <c r="B11" s="49" t="s">
        <v>346</v>
      </c>
      <c r="C11" s="14">
        <f>D11+E11+F11+G11+H11+I11+K11+M11+O11+Q11+R11+T11+U11+V11+W11</f>
        <v>666900.15</v>
      </c>
      <c r="D11" s="13">
        <v>0</v>
      </c>
      <c r="E11" s="13">
        <v>0</v>
      </c>
      <c r="F11" s="14">
        <v>0</v>
      </c>
      <c r="G11" s="13">
        <v>0</v>
      </c>
      <c r="H11" s="13">
        <v>0</v>
      </c>
      <c r="I11" s="13">
        <v>0</v>
      </c>
      <c r="J11" s="36">
        <v>0</v>
      </c>
      <c r="K11" s="13">
        <v>0</v>
      </c>
      <c r="L11" s="14">
        <v>401.2</v>
      </c>
      <c r="M11" s="14">
        <v>666900.15</v>
      </c>
      <c r="N11" s="13">
        <v>0</v>
      </c>
      <c r="O11" s="13">
        <v>0</v>
      </c>
      <c r="P11" s="13">
        <v>0</v>
      </c>
      <c r="Q11" s="13">
        <v>0</v>
      </c>
      <c r="R11" s="14">
        <v>0</v>
      </c>
      <c r="S11" s="13">
        <v>0</v>
      </c>
      <c r="T11" s="13">
        <v>0</v>
      </c>
      <c r="U11" s="14">
        <v>0</v>
      </c>
      <c r="V11" s="14">
        <v>0</v>
      </c>
      <c r="W11" s="13">
        <v>0</v>
      </c>
    </row>
    <row r="12" spans="1:23" ht="19.5" customHeight="1">
      <c r="A12" s="12" t="s">
        <v>16</v>
      </c>
      <c r="B12" s="49" t="s">
        <v>347</v>
      </c>
      <c r="C12" s="14">
        <f aca="true" t="shared" si="0" ref="C12:C69">D12+E12+F12+G12+H12+I12+K12+M12+O12+Q12+R12+T12+U12+V12+W12</f>
        <v>601967.56</v>
      </c>
      <c r="D12" s="13">
        <v>0</v>
      </c>
      <c r="E12" s="13">
        <v>0</v>
      </c>
      <c r="F12" s="14">
        <v>0</v>
      </c>
      <c r="G12" s="13">
        <v>0</v>
      </c>
      <c r="H12" s="13">
        <v>0</v>
      </c>
      <c r="I12" s="13">
        <v>0</v>
      </c>
      <c r="J12" s="36">
        <v>0</v>
      </c>
      <c r="K12" s="13">
        <v>0</v>
      </c>
      <c r="L12" s="14">
        <v>368.4</v>
      </c>
      <c r="M12" s="14">
        <v>601967.56</v>
      </c>
      <c r="N12" s="13">
        <v>0</v>
      </c>
      <c r="O12" s="13">
        <v>0</v>
      </c>
      <c r="P12" s="13">
        <v>0</v>
      </c>
      <c r="Q12" s="13">
        <v>0</v>
      </c>
      <c r="R12" s="14">
        <v>0</v>
      </c>
      <c r="S12" s="13">
        <v>0</v>
      </c>
      <c r="T12" s="13">
        <v>0</v>
      </c>
      <c r="U12" s="14">
        <v>0</v>
      </c>
      <c r="V12" s="14">
        <v>0</v>
      </c>
      <c r="W12" s="13">
        <v>0</v>
      </c>
    </row>
    <row r="13" spans="1:23" ht="19.5" customHeight="1">
      <c r="A13" s="12" t="s">
        <v>17</v>
      </c>
      <c r="B13" s="49" t="s">
        <v>348</v>
      </c>
      <c r="C13" s="14">
        <f t="shared" si="0"/>
        <v>634955.64</v>
      </c>
      <c r="D13" s="13">
        <v>0</v>
      </c>
      <c r="E13" s="13">
        <v>0</v>
      </c>
      <c r="F13" s="14">
        <v>0</v>
      </c>
      <c r="G13" s="13">
        <v>0</v>
      </c>
      <c r="H13" s="13">
        <v>0</v>
      </c>
      <c r="I13" s="13">
        <v>0</v>
      </c>
      <c r="J13" s="36">
        <v>0</v>
      </c>
      <c r="K13" s="13">
        <v>0</v>
      </c>
      <c r="L13" s="14">
        <v>377.5</v>
      </c>
      <c r="M13" s="14">
        <v>634955.64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  <c r="S13" s="13">
        <v>0</v>
      </c>
      <c r="T13" s="13">
        <v>0</v>
      </c>
      <c r="U13" s="14">
        <v>0</v>
      </c>
      <c r="V13" s="14">
        <v>0</v>
      </c>
      <c r="W13" s="13">
        <v>0</v>
      </c>
    </row>
    <row r="14" spans="1:23" ht="19.5" customHeight="1">
      <c r="A14" s="12" t="s">
        <v>18</v>
      </c>
      <c r="B14" s="49" t="s">
        <v>349</v>
      </c>
      <c r="C14" s="14">
        <f t="shared" si="0"/>
        <v>540464</v>
      </c>
      <c r="D14" s="13">
        <v>0</v>
      </c>
      <c r="E14" s="13">
        <v>0</v>
      </c>
      <c r="F14" s="14">
        <v>0</v>
      </c>
      <c r="G14" s="13">
        <v>0</v>
      </c>
      <c r="H14" s="13">
        <v>0</v>
      </c>
      <c r="I14" s="13">
        <v>0</v>
      </c>
      <c r="J14" s="36">
        <v>0</v>
      </c>
      <c r="K14" s="13">
        <v>0</v>
      </c>
      <c r="L14" s="14">
        <v>730</v>
      </c>
      <c r="M14" s="14">
        <v>540464</v>
      </c>
      <c r="N14" s="13">
        <v>0</v>
      </c>
      <c r="O14" s="13">
        <v>0</v>
      </c>
      <c r="P14" s="13">
        <v>0</v>
      </c>
      <c r="Q14" s="13">
        <v>0</v>
      </c>
      <c r="R14" s="14">
        <v>0</v>
      </c>
      <c r="S14" s="13">
        <v>0</v>
      </c>
      <c r="T14" s="13">
        <v>0</v>
      </c>
      <c r="U14" s="14">
        <v>0</v>
      </c>
      <c r="V14" s="14">
        <v>0</v>
      </c>
      <c r="W14" s="13">
        <v>0</v>
      </c>
    </row>
    <row r="15" spans="1:23" ht="19.5" customHeight="1">
      <c r="A15" s="12" t="s">
        <v>19</v>
      </c>
      <c r="B15" s="49" t="s">
        <v>350</v>
      </c>
      <c r="C15" s="14">
        <f t="shared" si="0"/>
        <v>1007280</v>
      </c>
      <c r="D15" s="13">
        <v>0</v>
      </c>
      <c r="E15" s="13">
        <v>932800</v>
      </c>
      <c r="F15" s="14">
        <v>0</v>
      </c>
      <c r="G15" s="13">
        <v>0</v>
      </c>
      <c r="H15" s="13">
        <v>0</v>
      </c>
      <c r="I15" s="13">
        <v>0</v>
      </c>
      <c r="J15" s="36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4">
        <v>0</v>
      </c>
      <c r="S15" s="13">
        <v>0</v>
      </c>
      <c r="T15" s="13">
        <v>0</v>
      </c>
      <c r="U15" s="14">
        <v>0</v>
      </c>
      <c r="V15" s="14">
        <v>0</v>
      </c>
      <c r="W15" s="13">
        <v>74480</v>
      </c>
    </row>
    <row r="16" spans="1:23" ht="19.5" customHeight="1">
      <c r="A16" s="12" t="s">
        <v>20</v>
      </c>
      <c r="B16" s="50" t="s">
        <v>298</v>
      </c>
      <c r="C16" s="14">
        <f t="shared" si="0"/>
        <v>250000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36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250000</v>
      </c>
    </row>
    <row r="17" spans="1:23" ht="19.5" customHeight="1">
      <c r="A17" s="12" t="s">
        <v>21</v>
      </c>
      <c r="B17" s="51" t="s">
        <v>351</v>
      </c>
      <c r="C17" s="14">
        <f t="shared" si="0"/>
        <v>1762671.02</v>
      </c>
      <c r="D17" s="13">
        <v>0</v>
      </c>
      <c r="E17" s="13">
        <v>0</v>
      </c>
      <c r="F17" s="14">
        <v>0</v>
      </c>
      <c r="G17" s="13">
        <v>0</v>
      </c>
      <c r="H17" s="13">
        <v>0</v>
      </c>
      <c r="I17" s="13">
        <v>0</v>
      </c>
      <c r="J17" s="36">
        <v>0</v>
      </c>
      <c r="K17" s="13">
        <v>0</v>
      </c>
      <c r="L17" s="13">
        <v>1084.8</v>
      </c>
      <c r="M17" s="13">
        <v>1762671.02</v>
      </c>
      <c r="N17" s="13">
        <v>0</v>
      </c>
      <c r="O17" s="13">
        <v>0</v>
      </c>
      <c r="P17" s="13">
        <v>0</v>
      </c>
      <c r="Q17" s="13">
        <v>0</v>
      </c>
      <c r="R17" s="14">
        <v>0</v>
      </c>
      <c r="S17" s="13">
        <v>0</v>
      </c>
      <c r="T17" s="13">
        <v>0</v>
      </c>
      <c r="U17" s="14">
        <v>0</v>
      </c>
      <c r="V17" s="14">
        <v>0</v>
      </c>
      <c r="W17" s="13">
        <v>0</v>
      </c>
    </row>
    <row r="18" spans="1:23" ht="19.5" customHeight="1">
      <c r="A18" s="12" t="s">
        <v>22</v>
      </c>
      <c r="B18" s="51" t="s">
        <v>352</v>
      </c>
      <c r="C18" s="14">
        <f t="shared" si="0"/>
        <v>758204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3">
        <v>0</v>
      </c>
      <c r="J18" s="36">
        <v>0</v>
      </c>
      <c r="K18" s="13">
        <v>0</v>
      </c>
      <c r="L18" s="13">
        <v>950</v>
      </c>
      <c r="M18" s="13">
        <v>758204</v>
      </c>
      <c r="N18" s="13">
        <v>0</v>
      </c>
      <c r="O18" s="13">
        <v>0</v>
      </c>
      <c r="P18" s="13">
        <v>0</v>
      </c>
      <c r="Q18" s="13">
        <v>0</v>
      </c>
      <c r="R18" s="14">
        <v>0</v>
      </c>
      <c r="S18" s="13">
        <v>0</v>
      </c>
      <c r="T18" s="13">
        <v>0</v>
      </c>
      <c r="U18" s="14">
        <v>0</v>
      </c>
      <c r="V18" s="14">
        <v>0</v>
      </c>
      <c r="W18" s="13">
        <v>0</v>
      </c>
    </row>
    <row r="19" spans="1:23" ht="19.5" customHeight="1">
      <c r="A19" s="12" t="s">
        <v>23</v>
      </c>
      <c r="B19" s="49" t="s">
        <v>353</v>
      </c>
      <c r="C19" s="14">
        <f t="shared" si="0"/>
        <v>1349230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3">
        <v>0</v>
      </c>
      <c r="J19" s="36">
        <v>0</v>
      </c>
      <c r="K19" s="13">
        <v>0</v>
      </c>
      <c r="L19" s="13">
        <v>1088.6</v>
      </c>
      <c r="M19" s="13">
        <v>1349230</v>
      </c>
      <c r="N19" s="13">
        <v>0</v>
      </c>
      <c r="O19" s="13">
        <v>0</v>
      </c>
      <c r="P19" s="13">
        <v>0</v>
      </c>
      <c r="Q19" s="13">
        <v>0</v>
      </c>
      <c r="R19" s="14">
        <v>0</v>
      </c>
      <c r="S19" s="13">
        <v>0</v>
      </c>
      <c r="T19" s="13">
        <v>0</v>
      </c>
      <c r="U19" s="14">
        <v>0</v>
      </c>
      <c r="V19" s="14">
        <v>0</v>
      </c>
      <c r="W19" s="13">
        <v>0</v>
      </c>
    </row>
    <row r="20" spans="1:23" ht="19.5" customHeight="1">
      <c r="A20" s="12" t="s">
        <v>583</v>
      </c>
      <c r="B20" s="51" t="s">
        <v>354</v>
      </c>
      <c r="C20" s="14">
        <f t="shared" si="0"/>
        <v>674982</v>
      </c>
      <c r="D20" s="13">
        <v>0</v>
      </c>
      <c r="E20" s="13">
        <v>0</v>
      </c>
      <c r="F20" s="14">
        <v>0</v>
      </c>
      <c r="G20" s="13">
        <v>0</v>
      </c>
      <c r="H20" s="13">
        <v>82286</v>
      </c>
      <c r="I20" s="13">
        <v>0</v>
      </c>
      <c r="J20" s="36">
        <v>0</v>
      </c>
      <c r="K20" s="13">
        <v>0</v>
      </c>
      <c r="L20" s="13">
        <v>425</v>
      </c>
      <c r="M20" s="13">
        <v>592696</v>
      </c>
      <c r="N20" s="13">
        <v>0</v>
      </c>
      <c r="O20" s="13">
        <v>0</v>
      </c>
      <c r="P20" s="13">
        <v>0</v>
      </c>
      <c r="Q20" s="13">
        <v>0</v>
      </c>
      <c r="R20" s="14">
        <v>0</v>
      </c>
      <c r="S20" s="13">
        <v>0</v>
      </c>
      <c r="T20" s="13">
        <v>0</v>
      </c>
      <c r="U20" s="14">
        <v>0</v>
      </c>
      <c r="V20" s="14">
        <v>0</v>
      </c>
      <c r="W20" s="13">
        <v>0</v>
      </c>
    </row>
    <row r="21" spans="1:23" ht="19.5" customHeight="1">
      <c r="A21" s="12" t="s">
        <v>24</v>
      </c>
      <c r="B21" s="49" t="s">
        <v>355</v>
      </c>
      <c r="C21" s="14">
        <f t="shared" si="0"/>
        <v>961894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36">
        <v>0</v>
      </c>
      <c r="K21" s="13">
        <v>0</v>
      </c>
      <c r="L21" s="13">
        <v>900</v>
      </c>
      <c r="M21" s="13">
        <v>961894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</row>
    <row r="22" spans="1:23" ht="19.5" customHeight="1">
      <c r="A22" s="12" t="s">
        <v>25</v>
      </c>
      <c r="B22" s="49" t="s">
        <v>356</v>
      </c>
      <c r="C22" s="14">
        <f t="shared" si="0"/>
        <v>1747581.18</v>
      </c>
      <c r="D22" s="13">
        <v>0</v>
      </c>
      <c r="E22" s="13">
        <v>0</v>
      </c>
      <c r="F22" s="14">
        <v>0</v>
      </c>
      <c r="G22" s="13">
        <v>0</v>
      </c>
      <c r="H22" s="13">
        <v>0</v>
      </c>
      <c r="I22" s="13">
        <v>0</v>
      </c>
      <c r="J22" s="36">
        <v>0</v>
      </c>
      <c r="K22" s="13">
        <v>0</v>
      </c>
      <c r="L22" s="14">
        <v>1053.3</v>
      </c>
      <c r="M22" s="14">
        <v>1747581.18</v>
      </c>
      <c r="N22" s="13">
        <v>0</v>
      </c>
      <c r="O22" s="13">
        <v>0</v>
      </c>
      <c r="P22" s="13">
        <v>0</v>
      </c>
      <c r="Q22" s="13">
        <v>0</v>
      </c>
      <c r="R22" s="14">
        <v>0</v>
      </c>
      <c r="S22" s="13">
        <v>0</v>
      </c>
      <c r="T22" s="13">
        <v>0</v>
      </c>
      <c r="U22" s="14">
        <v>0</v>
      </c>
      <c r="V22" s="14">
        <v>0</v>
      </c>
      <c r="W22" s="13">
        <v>0</v>
      </c>
    </row>
    <row r="23" spans="1:23" ht="19.5" customHeight="1">
      <c r="A23" s="12" t="s">
        <v>25</v>
      </c>
      <c r="B23" s="49" t="s">
        <v>357</v>
      </c>
      <c r="C23" s="14">
        <f t="shared" si="0"/>
        <v>1109600.2</v>
      </c>
      <c r="D23" s="13">
        <v>0</v>
      </c>
      <c r="E23" s="13">
        <v>0</v>
      </c>
      <c r="F23" s="14">
        <v>0</v>
      </c>
      <c r="G23" s="13">
        <v>0</v>
      </c>
      <c r="H23" s="14">
        <v>107676.36</v>
      </c>
      <c r="I23" s="13">
        <v>0</v>
      </c>
      <c r="J23" s="36">
        <v>0</v>
      </c>
      <c r="K23" s="13">
        <v>0</v>
      </c>
      <c r="L23" s="14">
        <v>580.4</v>
      </c>
      <c r="M23" s="14">
        <v>1001923.84</v>
      </c>
      <c r="N23" s="13">
        <v>0</v>
      </c>
      <c r="O23" s="13">
        <v>0</v>
      </c>
      <c r="P23" s="13">
        <v>0</v>
      </c>
      <c r="Q23" s="13">
        <v>0</v>
      </c>
      <c r="R23" s="14">
        <v>0</v>
      </c>
      <c r="S23" s="13">
        <v>0</v>
      </c>
      <c r="T23" s="13">
        <v>0</v>
      </c>
      <c r="U23" s="14">
        <v>0</v>
      </c>
      <c r="V23" s="14">
        <v>0</v>
      </c>
      <c r="W23" s="13">
        <v>0</v>
      </c>
    </row>
    <row r="24" spans="1:23" ht="19.5" customHeight="1">
      <c r="A24" s="12" t="s">
        <v>584</v>
      </c>
      <c r="B24" s="49" t="s">
        <v>358</v>
      </c>
      <c r="C24" s="14">
        <f t="shared" si="0"/>
        <v>944696.2</v>
      </c>
      <c r="D24" s="13">
        <v>0</v>
      </c>
      <c r="E24" s="13">
        <v>0</v>
      </c>
      <c r="F24" s="14">
        <v>0</v>
      </c>
      <c r="G24" s="13">
        <v>0</v>
      </c>
      <c r="H24" s="14">
        <v>75785.5</v>
      </c>
      <c r="I24" s="13">
        <v>0</v>
      </c>
      <c r="J24" s="36">
        <v>0</v>
      </c>
      <c r="K24" s="13">
        <v>0</v>
      </c>
      <c r="L24" s="14">
        <v>546.9</v>
      </c>
      <c r="M24" s="14">
        <v>868910.7</v>
      </c>
      <c r="N24" s="13">
        <v>0</v>
      </c>
      <c r="O24" s="13">
        <v>0</v>
      </c>
      <c r="P24" s="13">
        <v>0</v>
      </c>
      <c r="Q24" s="13">
        <v>0</v>
      </c>
      <c r="R24" s="14">
        <v>0</v>
      </c>
      <c r="S24" s="13">
        <v>0</v>
      </c>
      <c r="T24" s="13">
        <v>0</v>
      </c>
      <c r="U24" s="14">
        <v>0</v>
      </c>
      <c r="V24" s="14">
        <v>0</v>
      </c>
      <c r="W24" s="13">
        <v>0</v>
      </c>
    </row>
    <row r="25" spans="1:23" ht="19.5" customHeight="1">
      <c r="A25" s="12" t="s">
        <v>26</v>
      </c>
      <c r="B25" s="49" t="s">
        <v>359</v>
      </c>
      <c r="C25" s="14">
        <f t="shared" si="0"/>
        <v>62136</v>
      </c>
      <c r="D25" s="13">
        <v>0</v>
      </c>
      <c r="E25" s="13">
        <v>0</v>
      </c>
      <c r="F25" s="14">
        <v>0</v>
      </c>
      <c r="G25" s="13">
        <v>0</v>
      </c>
      <c r="H25" s="13">
        <v>0</v>
      </c>
      <c r="I25" s="14">
        <v>62136</v>
      </c>
      <c r="J25" s="36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v>0</v>
      </c>
      <c r="S25" s="13">
        <v>0</v>
      </c>
      <c r="T25" s="13">
        <v>0</v>
      </c>
      <c r="U25" s="14">
        <v>0</v>
      </c>
      <c r="V25" s="14">
        <v>0</v>
      </c>
      <c r="W25" s="13">
        <v>0</v>
      </c>
    </row>
    <row r="26" spans="1:23" ht="19.5" customHeight="1">
      <c r="A26" s="12" t="s">
        <v>27</v>
      </c>
      <c r="B26" s="51" t="s">
        <v>360</v>
      </c>
      <c r="C26" s="14">
        <f t="shared" si="0"/>
        <v>683386</v>
      </c>
      <c r="D26" s="13">
        <v>0</v>
      </c>
      <c r="E26" s="13">
        <v>0</v>
      </c>
      <c r="F26" s="14">
        <v>0</v>
      </c>
      <c r="G26" s="13">
        <v>0</v>
      </c>
      <c r="H26" s="13">
        <v>0</v>
      </c>
      <c r="I26" s="13">
        <v>0</v>
      </c>
      <c r="J26" s="36">
        <v>0</v>
      </c>
      <c r="K26" s="13">
        <v>0</v>
      </c>
      <c r="L26" s="14">
        <v>770</v>
      </c>
      <c r="M26" s="14">
        <v>683386</v>
      </c>
      <c r="N26" s="13">
        <v>0</v>
      </c>
      <c r="O26" s="13">
        <v>0</v>
      </c>
      <c r="P26" s="13">
        <v>0</v>
      </c>
      <c r="Q26" s="13">
        <v>0</v>
      </c>
      <c r="R26" s="14">
        <v>0</v>
      </c>
      <c r="S26" s="13">
        <v>0</v>
      </c>
      <c r="T26" s="13">
        <v>0</v>
      </c>
      <c r="U26" s="14">
        <v>0</v>
      </c>
      <c r="V26" s="14">
        <v>0</v>
      </c>
      <c r="W26" s="13">
        <v>0</v>
      </c>
    </row>
    <row r="27" spans="1:23" ht="19.5" customHeight="1">
      <c r="A27" s="12" t="s">
        <v>28</v>
      </c>
      <c r="B27" s="49" t="s">
        <v>361</v>
      </c>
      <c r="C27" s="14">
        <f t="shared" si="0"/>
        <v>363704.44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36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878</v>
      </c>
      <c r="Q27" s="13">
        <v>363704.44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</row>
    <row r="28" spans="1:23" ht="19.5" customHeight="1">
      <c r="A28" s="12" t="s">
        <v>29</v>
      </c>
      <c r="B28" s="49" t="s">
        <v>362</v>
      </c>
      <c r="C28" s="14">
        <f t="shared" si="0"/>
        <v>1500000</v>
      </c>
      <c r="D28" s="13">
        <v>0</v>
      </c>
      <c r="E28" s="13">
        <v>0</v>
      </c>
      <c r="F28" s="14">
        <v>0</v>
      </c>
      <c r="G28" s="13">
        <v>0</v>
      </c>
      <c r="H28" s="13">
        <v>0</v>
      </c>
      <c r="I28" s="13">
        <v>0</v>
      </c>
      <c r="J28" s="36">
        <v>0</v>
      </c>
      <c r="K28" s="13">
        <v>0</v>
      </c>
      <c r="L28" s="14">
        <v>605.6</v>
      </c>
      <c r="M28" s="14">
        <v>1200000</v>
      </c>
      <c r="N28" s="13">
        <v>0</v>
      </c>
      <c r="O28" s="13">
        <v>0</v>
      </c>
      <c r="P28" s="13">
        <v>0</v>
      </c>
      <c r="Q28" s="13">
        <v>0</v>
      </c>
      <c r="R28" s="14">
        <v>0</v>
      </c>
      <c r="S28" s="13">
        <v>0</v>
      </c>
      <c r="T28" s="13">
        <v>0</v>
      </c>
      <c r="U28" s="14">
        <v>0</v>
      </c>
      <c r="V28" s="14">
        <v>0</v>
      </c>
      <c r="W28" s="13">
        <v>300000</v>
      </c>
    </row>
    <row r="29" spans="1:23" ht="19.5" customHeight="1">
      <c r="A29" s="12" t="s">
        <v>30</v>
      </c>
      <c r="B29" s="51" t="s">
        <v>363</v>
      </c>
      <c r="C29" s="14">
        <f t="shared" si="0"/>
        <v>1102243.6</v>
      </c>
      <c r="D29" s="13">
        <v>0</v>
      </c>
      <c r="E29" s="13">
        <v>0</v>
      </c>
      <c r="F29" s="14">
        <v>0</v>
      </c>
      <c r="G29" s="13">
        <v>0</v>
      </c>
      <c r="H29" s="14">
        <v>137747</v>
      </c>
      <c r="I29" s="13">
        <v>0</v>
      </c>
      <c r="J29" s="36">
        <v>0</v>
      </c>
      <c r="K29" s="13">
        <v>0</v>
      </c>
      <c r="L29" s="14">
        <v>543.82</v>
      </c>
      <c r="M29" s="14">
        <v>964496.6</v>
      </c>
      <c r="N29" s="13">
        <v>0</v>
      </c>
      <c r="O29" s="13">
        <v>0</v>
      </c>
      <c r="P29" s="13">
        <v>0</v>
      </c>
      <c r="Q29" s="13">
        <v>0</v>
      </c>
      <c r="R29" s="14">
        <v>0</v>
      </c>
      <c r="S29" s="13">
        <v>0</v>
      </c>
      <c r="T29" s="13">
        <v>0</v>
      </c>
      <c r="U29" s="14">
        <v>0</v>
      </c>
      <c r="V29" s="14">
        <v>0</v>
      </c>
      <c r="W29" s="13">
        <v>0</v>
      </c>
    </row>
    <row r="30" spans="1:23" ht="19.5" customHeight="1">
      <c r="A30" s="12" t="s">
        <v>31</v>
      </c>
      <c r="B30" s="52" t="s">
        <v>364</v>
      </c>
      <c r="C30" s="14">
        <f t="shared" si="0"/>
        <v>217913</v>
      </c>
      <c r="D30" s="13">
        <v>0</v>
      </c>
      <c r="E30" s="13">
        <v>0</v>
      </c>
      <c r="F30" s="14">
        <v>0</v>
      </c>
      <c r="G30" s="13">
        <v>0</v>
      </c>
      <c r="H30" s="13">
        <v>0</v>
      </c>
      <c r="I30" s="13">
        <v>0</v>
      </c>
      <c r="J30" s="36">
        <v>0</v>
      </c>
      <c r="K30" s="13">
        <v>0</v>
      </c>
      <c r="L30" s="13">
        <v>148</v>
      </c>
      <c r="M30" s="13">
        <v>217913</v>
      </c>
      <c r="N30" s="13">
        <v>0</v>
      </c>
      <c r="O30" s="13">
        <v>0</v>
      </c>
      <c r="P30" s="13">
        <v>0</v>
      </c>
      <c r="Q30" s="13">
        <v>0</v>
      </c>
      <c r="R30" s="14">
        <v>0</v>
      </c>
      <c r="S30" s="13">
        <v>0</v>
      </c>
      <c r="T30" s="13">
        <v>0</v>
      </c>
      <c r="U30" s="14">
        <v>0</v>
      </c>
      <c r="V30" s="14">
        <v>0</v>
      </c>
      <c r="W30" s="13">
        <v>0</v>
      </c>
    </row>
    <row r="31" spans="1:23" ht="19.5" customHeight="1">
      <c r="A31" s="12" t="s">
        <v>32</v>
      </c>
      <c r="B31" s="49" t="s">
        <v>365</v>
      </c>
      <c r="C31" s="14">
        <f t="shared" si="0"/>
        <v>543731.02</v>
      </c>
      <c r="D31" s="13">
        <v>0</v>
      </c>
      <c r="E31" s="13">
        <v>0</v>
      </c>
      <c r="F31" s="14">
        <v>0</v>
      </c>
      <c r="G31" s="13">
        <v>0</v>
      </c>
      <c r="H31" s="13">
        <v>0</v>
      </c>
      <c r="I31" s="13">
        <v>0</v>
      </c>
      <c r="J31" s="36">
        <v>0</v>
      </c>
      <c r="K31" s="13">
        <v>0</v>
      </c>
      <c r="L31" s="14">
        <v>352.7</v>
      </c>
      <c r="M31" s="14">
        <v>543731.02</v>
      </c>
      <c r="N31" s="13">
        <v>0</v>
      </c>
      <c r="O31" s="13">
        <v>0</v>
      </c>
      <c r="P31" s="13">
        <v>0</v>
      </c>
      <c r="Q31" s="13">
        <v>0</v>
      </c>
      <c r="R31" s="14">
        <v>0</v>
      </c>
      <c r="S31" s="13">
        <v>0</v>
      </c>
      <c r="T31" s="13">
        <v>0</v>
      </c>
      <c r="U31" s="14">
        <v>0</v>
      </c>
      <c r="V31" s="14">
        <v>0</v>
      </c>
      <c r="W31" s="13">
        <v>0</v>
      </c>
    </row>
    <row r="32" spans="1:23" ht="19.5" customHeight="1">
      <c r="A32" s="12" t="s">
        <v>585</v>
      </c>
      <c r="B32" s="49" t="s">
        <v>366</v>
      </c>
      <c r="C32" s="14">
        <f t="shared" si="0"/>
        <v>902548</v>
      </c>
      <c r="D32" s="13">
        <v>0</v>
      </c>
      <c r="E32" s="13">
        <v>0</v>
      </c>
      <c r="F32" s="14">
        <v>0</v>
      </c>
      <c r="G32" s="13">
        <v>0</v>
      </c>
      <c r="H32" s="13">
        <v>0</v>
      </c>
      <c r="I32" s="13">
        <v>0</v>
      </c>
      <c r="J32" s="36">
        <v>0</v>
      </c>
      <c r="K32" s="13">
        <v>0</v>
      </c>
      <c r="L32" s="14">
        <v>950</v>
      </c>
      <c r="M32" s="14">
        <v>902548</v>
      </c>
      <c r="N32" s="13">
        <v>0</v>
      </c>
      <c r="O32" s="13">
        <v>0</v>
      </c>
      <c r="P32" s="13">
        <v>0</v>
      </c>
      <c r="Q32" s="13">
        <v>0</v>
      </c>
      <c r="R32" s="14">
        <v>0</v>
      </c>
      <c r="S32" s="13">
        <v>0</v>
      </c>
      <c r="T32" s="13">
        <v>0</v>
      </c>
      <c r="U32" s="14">
        <v>0</v>
      </c>
      <c r="V32" s="14">
        <v>0</v>
      </c>
      <c r="W32" s="13">
        <v>0</v>
      </c>
    </row>
    <row r="33" spans="1:23" ht="19.5" customHeight="1">
      <c r="A33" s="12" t="s">
        <v>586</v>
      </c>
      <c r="B33" s="49" t="s">
        <v>367</v>
      </c>
      <c r="C33" s="14">
        <f t="shared" si="0"/>
        <v>490940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3">
        <v>0</v>
      </c>
      <c r="J33" s="36">
        <v>0</v>
      </c>
      <c r="K33" s="13">
        <v>0</v>
      </c>
      <c r="L33" s="14">
        <v>380</v>
      </c>
      <c r="M33" s="14">
        <v>490940</v>
      </c>
      <c r="N33" s="13">
        <v>0</v>
      </c>
      <c r="O33" s="13">
        <v>0</v>
      </c>
      <c r="P33" s="13">
        <v>0</v>
      </c>
      <c r="Q33" s="13">
        <v>0</v>
      </c>
      <c r="R33" s="14">
        <v>0</v>
      </c>
      <c r="S33" s="13">
        <v>0</v>
      </c>
      <c r="T33" s="13">
        <v>0</v>
      </c>
      <c r="U33" s="14">
        <v>0</v>
      </c>
      <c r="V33" s="14">
        <v>0</v>
      </c>
      <c r="W33" s="13">
        <v>0</v>
      </c>
    </row>
    <row r="34" spans="1:23" ht="19.5" customHeight="1">
      <c r="A34" s="12" t="s">
        <v>33</v>
      </c>
      <c r="B34" s="49" t="s">
        <v>368</v>
      </c>
      <c r="C34" s="14">
        <f t="shared" si="0"/>
        <v>982591.35</v>
      </c>
      <c r="D34" s="13">
        <v>0</v>
      </c>
      <c r="E34" s="13">
        <v>0</v>
      </c>
      <c r="F34" s="14">
        <v>0</v>
      </c>
      <c r="G34" s="13">
        <v>0</v>
      </c>
      <c r="H34" s="13">
        <v>58612.41</v>
      </c>
      <c r="I34" s="13">
        <v>0</v>
      </c>
      <c r="J34" s="36">
        <v>0</v>
      </c>
      <c r="K34" s="13">
        <v>0</v>
      </c>
      <c r="L34" s="14">
        <v>617.35</v>
      </c>
      <c r="M34" s="14">
        <v>923978.94</v>
      </c>
      <c r="N34" s="13">
        <v>0</v>
      </c>
      <c r="O34" s="13">
        <v>0</v>
      </c>
      <c r="P34" s="13">
        <v>0</v>
      </c>
      <c r="Q34" s="13">
        <v>0</v>
      </c>
      <c r="R34" s="14">
        <v>0</v>
      </c>
      <c r="S34" s="13">
        <v>0</v>
      </c>
      <c r="T34" s="13">
        <v>0</v>
      </c>
      <c r="U34" s="14">
        <v>0</v>
      </c>
      <c r="V34" s="14">
        <v>0</v>
      </c>
      <c r="W34" s="13">
        <v>0</v>
      </c>
    </row>
    <row r="35" spans="1:23" ht="19.5" customHeight="1">
      <c r="A35" s="12" t="s">
        <v>34</v>
      </c>
      <c r="B35" s="49" t="s">
        <v>369</v>
      </c>
      <c r="C35" s="14">
        <f t="shared" si="0"/>
        <v>490940</v>
      </c>
      <c r="D35" s="13">
        <v>0</v>
      </c>
      <c r="E35" s="13">
        <v>0</v>
      </c>
      <c r="F35" s="14">
        <v>0</v>
      </c>
      <c r="G35" s="13">
        <v>0</v>
      </c>
      <c r="H35" s="13">
        <v>0</v>
      </c>
      <c r="I35" s="13">
        <v>0</v>
      </c>
      <c r="J35" s="36">
        <v>0</v>
      </c>
      <c r="K35" s="13">
        <v>0</v>
      </c>
      <c r="L35" s="14">
        <v>380</v>
      </c>
      <c r="M35" s="14">
        <v>490940</v>
      </c>
      <c r="N35" s="13">
        <v>0</v>
      </c>
      <c r="O35" s="13">
        <v>0</v>
      </c>
      <c r="P35" s="13">
        <v>0</v>
      </c>
      <c r="Q35" s="13">
        <v>0</v>
      </c>
      <c r="R35" s="14">
        <v>0</v>
      </c>
      <c r="S35" s="13">
        <v>0</v>
      </c>
      <c r="T35" s="13">
        <v>0</v>
      </c>
      <c r="U35" s="14">
        <v>0</v>
      </c>
      <c r="V35" s="14">
        <v>0</v>
      </c>
      <c r="W35" s="13">
        <v>0</v>
      </c>
    </row>
    <row r="36" spans="1:23" ht="19.5" customHeight="1">
      <c r="A36" s="12" t="s">
        <v>35</v>
      </c>
      <c r="B36" s="49" t="s">
        <v>370</v>
      </c>
      <c r="C36" s="14">
        <f t="shared" si="0"/>
        <v>398619</v>
      </c>
      <c r="D36" s="13">
        <v>0</v>
      </c>
      <c r="E36" s="13">
        <v>0</v>
      </c>
      <c r="F36" s="14">
        <v>0</v>
      </c>
      <c r="G36" s="14">
        <v>398619</v>
      </c>
      <c r="H36" s="13">
        <v>0</v>
      </c>
      <c r="I36" s="13">
        <v>0</v>
      </c>
      <c r="J36" s="36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0</v>
      </c>
      <c r="S36" s="13">
        <v>0</v>
      </c>
      <c r="T36" s="13">
        <v>0</v>
      </c>
      <c r="U36" s="14">
        <v>0</v>
      </c>
      <c r="V36" s="14">
        <v>0</v>
      </c>
      <c r="W36" s="13">
        <v>0</v>
      </c>
    </row>
    <row r="37" spans="1:23" ht="19.5" customHeight="1">
      <c r="A37" s="12" t="s">
        <v>36</v>
      </c>
      <c r="B37" s="49" t="s">
        <v>371</v>
      </c>
      <c r="C37" s="14">
        <f t="shared" si="0"/>
        <v>1167311.46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36">
        <v>0</v>
      </c>
      <c r="K37" s="13">
        <v>0</v>
      </c>
      <c r="L37" s="13">
        <v>647</v>
      </c>
      <c r="M37" s="13">
        <v>1167311.46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</row>
    <row r="38" spans="1:23" ht="19.5" customHeight="1">
      <c r="A38" s="12" t="s">
        <v>37</v>
      </c>
      <c r="B38" s="49" t="s">
        <v>372</v>
      </c>
      <c r="C38" s="14">
        <f t="shared" si="0"/>
        <v>253344</v>
      </c>
      <c r="D38" s="13">
        <v>0</v>
      </c>
      <c r="E38" s="13">
        <v>0</v>
      </c>
      <c r="F38" s="14">
        <v>0</v>
      </c>
      <c r="G38" s="14">
        <v>253344</v>
      </c>
      <c r="H38" s="13">
        <v>0</v>
      </c>
      <c r="I38" s="13">
        <v>0</v>
      </c>
      <c r="J38" s="36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0</v>
      </c>
      <c r="S38" s="13">
        <v>0</v>
      </c>
      <c r="T38" s="13">
        <v>0</v>
      </c>
      <c r="U38" s="14">
        <v>0</v>
      </c>
      <c r="V38" s="14">
        <v>0</v>
      </c>
      <c r="W38" s="13">
        <v>0</v>
      </c>
    </row>
    <row r="39" spans="1:23" ht="19.5" customHeight="1">
      <c r="A39" s="12" t="s">
        <v>38</v>
      </c>
      <c r="B39" s="49" t="s">
        <v>373</v>
      </c>
      <c r="C39" s="14">
        <f t="shared" si="0"/>
        <v>77810</v>
      </c>
      <c r="D39" s="13">
        <v>0</v>
      </c>
      <c r="E39" s="13">
        <v>0</v>
      </c>
      <c r="F39" s="14">
        <v>0</v>
      </c>
      <c r="G39" s="14">
        <v>77810</v>
      </c>
      <c r="H39" s="13">
        <v>0</v>
      </c>
      <c r="I39" s="13">
        <v>0</v>
      </c>
      <c r="J39" s="36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0</v>
      </c>
      <c r="S39" s="13">
        <v>0</v>
      </c>
      <c r="T39" s="13">
        <v>0</v>
      </c>
      <c r="U39" s="14">
        <v>0</v>
      </c>
      <c r="V39" s="14">
        <v>0</v>
      </c>
      <c r="W39" s="13">
        <v>0</v>
      </c>
    </row>
    <row r="40" spans="1:23" ht="19.5" customHeight="1">
      <c r="A40" s="12" t="s">
        <v>39</v>
      </c>
      <c r="B40" s="49" t="s">
        <v>374</v>
      </c>
      <c r="C40" s="14">
        <f t="shared" si="0"/>
        <v>703654</v>
      </c>
      <c r="D40" s="13">
        <v>0</v>
      </c>
      <c r="E40" s="13">
        <v>0</v>
      </c>
      <c r="F40" s="14">
        <v>0</v>
      </c>
      <c r="G40" s="13">
        <v>0</v>
      </c>
      <c r="H40" s="13">
        <v>0</v>
      </c>
      <c r="I40" s="13">
        <v>0</v>
      </c>
      <c r="J40" s="36">
        <v>0</v>
      </c>
      <c r="K40" s="13">
        <v>0</v>
      </c>
      <c r="L40" s="14">
        <v>749</v>
      </c>
      <c r="M40" s="14">
        <v>703654</v>
      </c>
      <c r="N40" s="13">
        <v>0</v>
      </c>
      <c r="O40" s="13">
        <v>0</v>
      </c>
      <c r="P40" s="13">
        <v>0</v>
      </c>
      <c r="Q40" s="13">
        <v>0</v>
      </c>
      <c r="R40" s="14">
        <v>0</v>
      </c>
      <c r="S40" s="13">
        <v>0</v>
      </c>
      <c r="T40" s="13">
        <v>0</v>
      </c>
      <c r="U40" s="14">
        <v>0</v>
      </c>
      <c r="V40" s="14">
        <v>0</v>
      </c>
      <c r="W40" s="13">
        <v>0</v>
      </c>
    </row>
    <row r="41" spans="1:23" ht="19.5" customHeight="1">
      <c r="A41" s="12" t="s">
        <v>40</v>
      </c>
      <c r="B41" s="53" t="s">
        <v>579</v>
      </c>
      <c r="C41" s="14">
        <f>D41+E41+F41+G41+H41+I41+K41+M41+O41+Q41+R41+T41+U41+V41+W41</f>
        <v>945667</v>
      </c>
      <c r="D41" s="13">
        <v>0</v>
      </c>
      <c r="E41" s="13">
        <v>0</v>
      </c>
      <c r="F41" s="14">
        <v>0</v>
      </c>
      <c r="G41" s="13">
        <v>0</v>
      </c>
      <c r="H41" s="13">
        <v>0</v>
      </c>
      <c r="I41" s="13">
        <v>0</v>
      </c>
      <c r="J41" s="36">
        <v>0</v>
      </c>
      <c r="K41" s="13">
        <v>0</v>
      </c>
      <c r="L41" s="13">
        <v>650</v>
      </c>
      <c r="M41" s="13">
        <v>845667</v>
      </c>
      <c r="N41" s="13">
        <v>0</v>
      </c>
      <c r="O41" s="13">
        <v>0</v>
      </c>
      <c r="P41" s="13">
        <v>0</v>
      </c>
      <c r="Q41" s="13">
        <v>0</v>
      </c>
      <c r="R41" s="14">
        <v>0</v>
      </c>
      <c r="S41" s="13">
        <v>0</v>
      </c>
      <c r="T41" s="13">
        <v>0</v>
      </c>
      <c r="U41" s="14">
        <v>0</v>
      </c>
      <c r="V41" s="14">
        <v>0</v>
      </c>
      <c r="W41" s="13">
        <v>100000</v>
      </c>
    </row>
    <row r="42" spans="1:23" ht="19.5" customHeight="1">
      <c r="A42" s="12" t="s">
        <v>41</v>
      </c>
      <c r="B42" s="53" t="s">
        <v>375</v>
      </c>
      <c r="C42" s="14">
        <f t="shared" si="0"/>
        <v>1544653.04</v>
      </c>
      <c r="D42" s="13">
        <v>0</v>
      </c>
      <c r="E42" s="13">
        <v>0</v>
      </c>
      <c r="F42" s="14">
        <v>0</v>
      </c>
      <c r="G42" s="13">
        <v>0</v>
      </c>
      <c r="H42" s="13">
        <v>0</v>
      </c>
      <c r="I42" s="13">
        <v>0</v>
      </c>
      <c r="J42" s="36">
        <v>0</v>
      </c>
      <c r="K42" s="13">
        <v>0</v>
      </c>
      <c r="L42" s="14">
        <v>950.3</v>
      </c>
      <c r="M42" s="14">
        <v>1544653.04</v>
      </c>
      <c r="N42" s="13">
        <v>0</v>
      </c>
      <c r="O42" s="13">
        <v>0</v>
      </c>
      <c r="P42" s="13">
        <v>0</v>
      </c>
      <c r="Q42" s="13">
        <v>0</v>
      </c>
      <c r="R42" s="14">
        <v>0</v>
      </c>
      <c r="S42" s="13">
        <v>0</v>
      </c>
      <c r="T42" s="13">
        <v>0</v>
      </c>
      <c r="U42" s="14">
        <v>0</v>
      </c>
      <c r="V42" s="14">
        <v>0</v>
      </c>
      <c r="W42" s="13">
        <v>0</v>
      </c>
    </row>
    <row r="43" spans="1:23" ht="19.5" customHeight="1">
      <c r="A43" s="12" t="s">
        <v>42</v>
      </c>
      <c r="B43" s="53" t="s">
        <v>376</v>
      </c>
      <c r="C43" s="14">
        <f t="shared" si="0"/>
        <v>1546459.62</v>
      </c>
      <c r="D43" s="13">
        <v>0</v>
      </c>
      <c r="E43" s="13">
        <v>0</v>
      </c>
      <c r="F43" s="14">
        <v>0</v>
      </c>
      <c r="G43" s="13">
        <v>0</v>
      </c>
      <c r="H43" s="13">
        <v>0</v>
      </c>
      <c r="I43" s="13">
        <v>0</v>
      </c>
      <c r="J43" s="36">
        <v>0</v>
      </c>
      <c r="K43" s="13">
        <v>0</v>
      </c>
      <c r="L43" s="14">
        <v>940</v>
      </c>
      <c r="M43" s="14">
        <v>1546459.62</v>
      </c>
      <c r="N43" s="13">
        <v>0</v>
      </c>
      <c r="O43" s="13">
        <v>0</v>
      </c>
      <c r="P43" s="13">
        <v>0</v>
      </c>
      <c r="Q43" s="13">
        <v>0</v>
      </c>
      <c r="R43" s="14">
        <v>0</v>
      </c>
      <c r="S43" s="13">
        <v>0</v>
      </c>
      <c r="T43" s="13">
        <v>0</v>
      </c>
      <c r="U43" s="14">
        <v>0</v>
      </c>
      <c r="V43" s="14">
        <v>0</v>
      </c>
      <c r="W43" s="13">
        <v>0</v>
      </c>
    </row>
    <row r="44" spans="1:23" ht="19.5" customHeight="1">
      <c r="A44" s="12" t="s">
        <v>43</v>
      </c>
      <c r="B44" s="49" t="s">
        <v>580</v>
      </c>
      <c r="C44" s="14">
        <f t="shared" si="0"/>
        <v>1505394.22</v>
      </c>
      <c r="D44" s="13">
        <v>0</v>
      </c>
      <c r="E44" s="13">
        <v>0</v>
      </c>
      <c r="F44" s="14">
        <v>0</v>
      </c>
      <c r="G44" s="13">
        <v>136697.1</v>
      </c>
      <c r="H44" s="13">
        <v>163588.12</v>
      </c>
      <c r="I44" s="13">
        <v>0</v>
      </c>
      <c r="J44" s="36">
        <v>0</v>
      </c>
      <c r="K44" s="13">
        <v>0</v>
      </c>
      <c r="L44" s="13">
        <v>1082.9</v>
      </c>
      <c r="M44" s="13">
        <v>1205109</v>
      </c>
      <c r="N44" s="13">
        <v>0</v>
      </c>
      <c r="O44" s="13">
        <v>0</v>
      </c>
      <c r="P44" s="13">
        <v>0</v>
      </c>
      <c r="Q44" s="13">
        <v>0</v>
      </c>
      <c r="R44" s="14">
        <v>0</v>
      </c>
      <c r="S44" s="13">
        <v>0</v>
      </c>
      <c r="T44" s="13">
        <v>0</v>
      </c>
      <c r="U44" s="14">
        <v>0</v>
      </c>
      <c r="V44" s="14">
        <v>0</v>
      </c>
      <c r="W44" s="13">
        <v>0</v>
      </c>
    </row>
    <row r="45" spans="1:23" ht="19.5" customHeight="1">
      <c r="A45" s="12" t="s">
        <v>44</v>
      </c>
      <c r="B45" s="49" t="s">
        <v>581</v>
      </c>
      <c r="C45" s="14">
        <f t="shared" si="0"/>
        <v>1766076.7</v>
      </c>
      <c r="D45" s="13">
        <v>0</v>
      </c>
      <c r="E45" s="13">
        <v>840562</v>
      </c>
      <c r="F45" s="14">
        <v>0</v>
      </c>
      <c r="G45" s="13">
        <v>131079.12</v>
      </c>
      <c r="H45" s="13">
        <v>148657.58</v>
      </c>
      <c r="I45" s="13">
        <v>0</v>
      </c>
      <c r="J45" s="36">
        <v>0</v>
      </c>
      <c r="K45" s="13">
        <v>0</v>
      </c>
      <c r="L45" s="13">
        <v>709</v>
      </c>
      <c r="M45" s="13">
        <v>589738</v>
      </c>
      <c r="N45" s="13">
        <v>0</v>
      </c>
      <c r="O45" s="13">
        <v>0</v>
      </c>
      <c r="P45" s="13">
        <v>0</v>
      </c>
      <c r="Q45" s="13">
        <v>0</v>
      </c>
      <c r="R45" s="14">
        <v>0</v>
      </c>
      <c r="S45" s="13">
        <v>0</v>
      </c>
      <c r="T45" s="13">
        <v>0</v>
      </c>
      <c r="U45" s="14">
        <v>0</v>
      </c>
      <c r="V45" s="14">
        <v>0</v>
      </c>
      <c r="W45" s="13">
        <v>56040</v>
      </c>
    </row>
    <row r="46" spans="1:23" ht="19.5" customHeight="1">
      <c r="A46" s="12" t="s">
        <v>45</v>
      </c>
      <c r="B46" s="49" t="s">
        <v>582</v>
      </c>
      <c r="C46" s="14">
        <f t="shared" si="0"/>
        <v>1301004</v>
      </c>
      <c r="D46" s="13">
        <v>0</v>
      </c>
      <c r="E46" s="13">
        <v>0</v>
      </c>
      <c r="F46" s="14">
        <v>0</v>
      </c>
      <c r="G46" s="13">
        <v>0</v>
      </c>
      <c r="H46" s="13">
        <v>95895</v>
      </c>
      <c r="I46" s="13">
        <v>0</v>
      </c>
      <c r="J46" s="36">
        <v>0</v>
      </c>
      <c r="K46" s="13">
        <v>0</v>
      </c>
      <c r="L46" s="13">
        <v>1082.9</v>
      </c>
      <c r="M46" s="13">
        <v>1205109</v>
      </c>
      <c r="N46" s="13">
        <v>0</v>
      </c>
      <c r="O46" s="13">
        <v>0</v>
      </c>
      <c r="P46" s="13">
        <v>0</v>
      </c>
      <c r="Q46" s="13">
        <v>0</v>
      </c>
      <c r="R46" s="14">
        <v>0</v>
      </c>
      <c r="S46" s="13">
        <v>0</v>
      </c>
      <c r="T46" s="13">
        <v>0</v>
      </c>
      <c r="U46" s="14">
        <v>0</v>
      </c>
      <c r="V46" s="14">
        <v>0</v>
      </c>
      <c r="W46" s="13">
        <v>0</v>
      </c>
    </row>
    <row r="47" spans="1:23" ht="19.5" customHeight="1">
      <c r="A47" s="12" t="s">
        <v>46</v>
      </c>
      <c r="B47" s="54" t="s">
        <v>377</v>
      </c>
      <c r="C47" s="14">
        <f t="shared" si="0"/>
        <v>3412299</v>
      </c>
      <c r="D47" s="13">
        <v>0</v>
      </c>
      <c r="E47" s="13">
        <v>0</v>
      </c>
      <c r="F47" s="14">
        <v>0</v>
      </c>
      <c r="G47" s="13">
        <v>0</v>
      </c>
      <c r="H47" s="13">
        <v>0</v>
      </c>
      <c r="I47" s="13">
        <v>0</v>
      </c>
      <c r="J47" s="36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2673.9</v>
      </c>
      <c r="Q47" s="13">
        <v>3162299</v>
      </c>
      <c r="R47" s="14">
        <v>0</v>
      </c>
      <c r="S47" s="13">
        <v>0</v>
      </c>
      <c r="T47" s="13">
        <v>0</v>
      </c>
      <c r="U47" s="14">
        <v>0</v>
      </c>
      <c r="V47" s="14">
        <v>0</v>
      </c>
      <c r="W47" s="13">
        <v>250000</v>
      </c>
    </row>
    <row r="48" spans="1:23" ht="19.5" customHeight="1">
      <c r="A48" s="12" t="s">
        <v>47</v>
      </c>
      <c r="B48" s="54" t="s">
        <v>378</v>
      </c>
      <c r="C48" s="14">
        <f t="shared" si="0"/>
        <v>1647290.73</v>
      </c>
      <c r="D48" s="13">
        <v>0</v>
      </c>
      <c r="E48" s="13">
        <v>0</v>
      </c>
      <c r="F48" s="14">
        <v>0</v>
      </c>
      <c r="G48" s="13">
        <v>0</v>
      </c>
      <c r="H48" s="13">
        <v>0</v>
      </c>
      <c r="I48" s="13">
        <v>0</v>
      </c>
      <c r="J48" s="36">
        <v>1</v>
      </c>
      <c r="K48" s="13">
        <v>1568350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4">
        <v>0</v>
      </c>
      <c r="S48" s="13">
        <v>0</v>
      </c>
      <c r="T48" s="13">
        <v>0</v>
      </c>
      <c r="U48" s="14">
        <v>0</v>
      </c>
      <c r="V48" s="14">
        <v>0</v>
      </c>
      <c r="W48" s="13">
        <v>78940.73</v>
      </c>
    </row>
    <row r="49" spans="1:23" ht="19.5" customHeight="1">
      <c r="A49" s="12" t="s">
        <v>48</v>
      </c>
      <c r="B49" s="51" t="s">
        <v>576</v>
      </c>
      <c r="C49" s="14">
        <f t="shared" si="0"/>
        <v>353737</v>
      </c>
      <c r="D49" s="13">
        <v>0</v>
      </c>
      <c r="E49" s="13">
        <v>0</v>
      </c>
      <c r="F49" s="14">
        <v>0</v>
      </c>
      <c r="G49" s="13">
        <v>0</v>
      </c>
      <c r="H49" s="13">
        <v>0</v>
      </c>
      <c r="I49" s="13">
        <v>0</v>
      </c>
      <c r="J49" s="36">
        <v>0</v>
      </c>
      <c r="K49" s="13">
        <v>0</v>
      </c>
      <c r="L49" s="14">
        <v>219</v>
      </c>
      <c r="M49" s="14">
        <v>353737</v>
      </c>
      <c r="N49" s="13">
        <v>0</v>
      </c>
      <c r="O49" s="13">
        <v>0</v>
      </c>
      <c r="P49" s="13">
        <v>0</v>
      </c>
      <c r="Q49" s="13">
        <v>0</v>
      </c>
      <c r="R49" s="14">
        <v>0</v>
      </c>
      <c r="S49" s="13">
        <v>0</v>
      </c>
      <c r="T49" s="13">
        <v>0</v>
      </c>
      <c r="U49" s="14">
        <v>0</v>
      </c>
      <c r="V49" s="14">
        <v>0</v>
      </c>
      <c r="W49" s="13">
        <v>0</v>
      </c>
    </row>
    <row r="50" spans="1:23" ht="19.5" customHeight="1">
      <c r="A50" s="12" t="s">
        <v>49</v>
      </c>
      <c r="B50" s="49" t="s">
        <v>379</v>
      </c>
      <c r="C50" s="14">
        <f t="shared" si="0"/>
        <v>2347452</v>
      </c>
      <c r="D50" s="13">
        <v>0</v>
      </c>
      <c r="E50" s="13">
        <v>0</v>
      </c>
      <c r="F50" s="14">
        <v>0</v>
      </c>
      <c r="G50" s="13">
        <v>1370902</v>
      </c>
      <c r="H50" s="13">
        <v>976550</v>
      </c>
      <c r="I50" s="13">
        <v>0</v>
      </c>
      <c r="J50" s="36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0</v>
      </c>
      <c r="S50" s="13">
        <v>0</v>
      </c>
      <c r="T50" s="13">
        <v>0</v>
      </c>
      <c r="U50" s="14">
        <v>0</v>
      </c>
      <c r="V50" s="14">
        <v>0</v>
      </c>
      <c r="W50" s="13">
        <v>0</v>
      </c>
    </row>
    <row r="51" spans="1:23" ht="19.5" customHeight="1">
      <c r="A51" s="12" t="s">
        <v>50</v>
      </c>
      <c r="B51" s="49" t="s">
        <v>380</v>
      </c>
      <c r="C51" s="14">
        <f t="shared" si="0"/>
        <v>12453373</v>
      </c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13">
        <v>0</v>
      </c>
      <c r="J51" s="36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2994.66</v>
      </c>
      <c r="Q51" s="13">
        <v>12453373</v>
      </c>
      <c r="R51" s="14">
        <v>0</v>
      </c>
      <c r="S51" s="13">
        <v>0</v>
      </c>
      <c r="T51" s="13">
        <v>0</v>
      </c>
      <c r="U51" s="14">
        <v>0</v>
      </c>
      <c r="V51" s="14">
        <v>0</v>
      </c>
      <c r="W51" s="13">
        <v>0</v>
      </c>
    </row>
    <row r="52" spans="1:23" ht="19.5" customHeight="1">
      <c r="A52" s="12" t="s">
        <v>604</v>
      </c>
      <c r="B52" s="50" t="s">
        <v>299</v>
      </c>
      <c r="C52" s="14">
        <f t="shared" si="0"/>
        <v>250000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36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250000</v>
      </c>
    </row>
    <row r="53" spans="1:23" ht="19.5" customHeight="1">
      <c r="A53" s="12" t="s">
        <v>605</v>
      </c>
      <c r="B53" s="50" t="s">
        <v>300</v>
      </c>
      <c r="C53" s="14">
        <f t="shared" si="0"/>
        <v>250000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36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250000</v>
      </c>
    </row>
    <row r="54" spans="1:23" ht="19.5" customHeight="1">
      <c r="A54" s="12" t="s">
        <v>51</v>
      </c>
      <c r="B54" s="50" t="s">
        <v>381</v>
      </c>
      <c r="C54" s="14">
        <f t="shared" si="0"/>
        <v>830509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3">
        <v>0</v>
      </c>
      <c r="J54" s="36">
        <v>0</v>
      </c>
      <c r="K54" s="13">
        <v>0</v>
      </c>
      <c r="L54" s="13">
        <v>399</v>
      </c>
      <c r="M54" s="13">
        <v>730509</v>
      </c>
      <c r="N54" s="13">
        <v>0</v>
      </c>
      <c r="O54" s="13">
        <v>0</v>
      </c>
      <c r="P54" s="13">
        <v>0</v>
      </c>
      <c r="Q54" s="13">
        <v>0</v>
      </c>
      <c r="R54" s="14">
        <v>0</v>
      </c>
      <c r="S54" s="13">
        <v>0</v>
      </c>
      <c r="T54" s="13">
        <v>0</v>
      </c>
      <c r="U54" s="14">
        <v>0</v>
      </c>
      <c r="V54" s="14">
        <v>0</v>
      </c>
      <c r="W54" s="13">
        <v>100000</v>
      </c>
    </row>
    <row r="55" spans="1:23" ht="19.5" customHeight="1">
      <c r="A55" s="12" t="s">
        <v>52</v>
      </c>
      <c r="B55" s="50" t="s">
        <v>382</v>
      </c>
      <c r="C55" s="14">
        <f t="shared" si="0"/>
        <v>460900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3">
        <v>0</v>
      </c>
      <c r="J55" s="36">
        <v>0</v>
      </c>
      <c r="K55" s="13">
        <v>0</v>
      </c>
      <c r="L55" s="14">
        <v>250</v>
      </c>
      <c r="M55" s="14">
        <v>460900</v>
      </c>
      <c r="N55" s="13">
        <v>0</v>
      </c>
      <c r="O55" s="13">
        <v>0</v>
      </c>
      <c r="P55" s="13">
        <v>0</v>
      </c>
      <c r="Q55" s="13">
        <v>0</v>
      </c>
      <c r="R55" s="14">
        <v>0</v>
      </c>
      <c r="S55" s="13">
        <v>0</v>
      </c>
      <c r="T55" s="13">
        <v>0</v>
      </c>
      <c r="U55" s="14">
        <v>0</v>
      </c>
      <c r="V55" s="14">
        <v>0</v>
      </c>
      <c r="W55" s="13">
        <v>0</v>
      </c>
    </row>
    <row r="56" spans="1:23" ht="19.5" customHeight="1">
      <c r="A56" s="12" t="s">
        <v>53</v>
      </c>
      <c r="B56" s="51" t="s">
        <v>383</v>
      </c>
      <c r="C56" s="14">
        <f t="shared" si="0"/>
        <v>395000</v>
      </c>
      <c r="D56" s="13">
        <v>0</v>
      </c>
      <c r="E56" s="13">
        <v>0</v>
      </c>
      <c r="F56" s="14">
        <v>0</v>
      </c>
      <c r="G56" s="13">
        <v>0</v>
      </c>
      <c r="H56" s="13">
        <v>145000</v>
      </c>
      <c r="I56" s="13">
        <v>0</v>
      </c>
      <c r="J56" s="36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0</v>
      </c>
      <c r="S56" s="13">
        <v>0</v>
      </c>
      <c r="T56" s="13">
        <v>0</v>
      </c>
      <c r="U56" s="14">
        <v>0</v>
      </c>
      <c r="V56" s="14">
        <v>0</v>
      </c>
      <c r="W56" s="13">
        <v>250000</v>
      </c>
    </row>
    <row r="57" spans="1:23" ht="19.5" customHeight="1">
      <c r="A57" s="12" t="s">
        <v>330</v>
      </c>
      <c r="B57" s="51" t="s">
        <v>301</v>
      </c>
      <c r="C57" s="14">
        <f t="shared" si="0"/>
        <v>250000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36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250000</v>
      </c>
    </row>
    <row r="58" spans="1:23" ht="19.5" customHeight="1">
      <c r="A58" s="12" t="s">
        <v>54</v>
      </c>
      <c r="B58" s="49" t="s">
        <v>384</v>
      </c>
      <c r="C58" s="14">
        <f t="shared" si="0"/>
        <v>6776669.07</v>
      </c>
      <c r="D58" s="13">
        <v>0</v>
      </c>
      <c r="E58" s="13">
        <v>0</v>
      </c>
      <c r="F58" s="14">
        <v>0</v>
      </c>
      <c r="G58" s="13">
        <v>0</v>
      </c>
      <c r="H58" s="13">
        <v>0</v>
      </c>
      <c r="I58" s="13">
        <v>0</v>
      </c>
      <c r="J58" s="36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1097</v>
      </c>
      <c r="Q58" s="13">
        <v>6130147.07</v>
      </c>
      <c r="R58" s="14">
        <v>0</v>
      </c>
      <c r="S58" s="13">
        <v>0</v>
      </c>
      <c r="T58" s="13">
        <v>0</v>
      </c>
      <c r="U58" s="14">
        <v>0</v>
      </c>
      <c r="V58" s="14">
        <v>0</v>
      </c>
      <c r="W58" s="13">
        <v>646522</v>
      </c>
    </row>
    <row r="59" spans="1:23" ht="19.5" customHeight="1">
      <c r="A59" s="12" t="s">
        <v>55</v>
      </c>
      <c r="B59" s="49" t="s">
        <v>385</v>
      </c>
      <c r="C59" s="14">
        <f t="shared" si="0"/>
        <v>597387.98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3">
        <v>0</v>
      </c>
      <c r="J59" s="36">
        <v>0</v>
      </c>
      <c r="K59" s="13">
        <v>0</v>
      </c>
      <c r="L59" s="13">
        <v>401.5</v>
      </c>
      <c r="M59" s="13">
        <v>597387.98</v>
      </c>
      <c r="N59" s="13">
        <v>0</v>
      </c>
      <c r="O59" s="13">
        <v>0</v>
      </c>
      <c r="P59" s="13">
        <v>0</v>
      </c>
      <c r="Q59" s="13">
        <v>0</v>
      </c>
      <c r="R59" s="14">
        <v>0</v>
      </c>
      <c r="S59" s="13">
        <v>0</v>
      </c>
      <c r="T59" s="13">
        <v>0</v>
      </c>
      <c r="U59" s="14">
        <v>0</v>
      </c>
      <c r="V59" s="14">
        <v>0</v>
      </c>
      <c r="W59" s="13">
        <v>0</v>
      </c>
    </row>
    <row r="60" spans="1:23" ht="19.5" customHeight="1">
      <c r="A60" s="12" t="s">
        <v>56</v>
      </c>
      <c r="B60" s="49" t="s">
        <v>386</v>
      </c>
      <c r="C60" s="14">
        <f t="shared" si="0"/>
        <v>1875953</v>
      </c>
      <c r="D60" s="13">
        <v>0</v>
      </c>
      <c r="E60" s="13">
        <v>0</v>
      </c>
      <c r="F60" s="14">
        <v>0</v>
      </c>
      <c r="G60" s="13">
        <v>0</v>
      </c>
      <c r="H60" s="13">
        <v>0</v>
      </c>
      <c r="I60" s="13">
        <v>0</v>
      </c>
      <c r="J60" s="36">
        <v>0</v>
      </c>
      <c r="K60" s="13">
        <v>0</v>
      </c>
      <c r="L60" s="13">
        <v>1100</v>
      </c>
      <c r="M60" s="13">
        <v>1625953</v>
      </c>
      <c r="N60" s="13">
        <v>0</v>
      </c>
      <c r="O60" s="13">
        <v>0</v>
      </c>
      <c r="P60" s="13">
        <v>0</v>
      </c>
      <c r="Q60" s="13">
        <v>0</v>
      </c>
      <c r="R60" s="14">
        <v>0</v>
      </c>
      <c r="S60" s="13">
        <v>0</v>
      </c>
      <c r="T60" s="13">
        <v>0</v>
      </c>
      <c r="U60" s="14">
        <v>0</v>
      </c>
      <c r="V60" s="14">
        <v>0</v>
      </c>
      <c r="W60" s="13">
        <v>250000</v>
      </c>
    </row>
    <row r="61" spans="1:23" ht="19.5" customHeight="1">
      <c r="A61" s="12" t="s">
        <v>57</v>
      </c>
      <c r="B61" s="49" t="s">
        <v>387</v>
      </c>
      <c r="C61" s="14">
        <f t="shared" si="0"/>
        <v>1248444</v>
      </c>
      <c r="D61" s="13">
        <v>0</v>
      </c>
      <c r="E61" s="13">
        <v>0</v>
      </c>
      <c r="F61" s="14">
        <v>0</v>
      </c>
      <c r="G61" s="13">
        <v>0</v>
      </c>
      <c r="H61" s="13">
        <v>0</v>
      </c>
      <c r="I61" s="13">
        <v>0</v>
      </c>
      <c r="J61" s="36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1189.84</v>
      </c>
      <c r="Q61" s="13">
        <v>1248444</v>
      </c>
      <c r="R61" s="14">
        <v>0</v>
      </c>
      <c r="S61" s="13">
        <v>0</v>
      </c>
      <c r="T61" s="13">
        <v>0</v>
      </c>
      <c r="U61" s="14">
        <v>0</v>
      </c>
      <c r="V61" s="14">
        <v>0</v>
      </c>
      <c r="W61" s="13">
        <v>0</v>
      </c>
    </row>
    <row r="62" spans="1:23" ht="19.5" customHeight="1">
      <c r="A62" s="12" t="s">
        <v>58</v>
      </c>
      <c r="B62" s="49" t="s">
        <v>388</v>
      </c>
      <c r="C62" s="14">
        <f t="shared" si="0"/>
        <v>1720596.94</v>
      </c>
      <c r="D62" s="13">
        <v>0</v>
      </c>
      <c r="E62" s="13">
        <v>0</v>
      </c>
      <c r="F62" s="14">
        <v>0</v>
      </c>
      <c r="G62" s="14">
        <v>0</v>
      </c>
      <c r="H62" s="14">
        <v>0</v>
      </c>
      <c r="I62" s="13">
        <v>0</v>
      </c>
      <c r="J62" s="36">
        <v>0</v>
      </c>
      <c r="K62" s="13">
        <v>0</v>
      </c>
      <c r="L62" s="14">
        <v>1094.7</v>
      </c>
      <c r="M62" s="14">
        <v>1720596.94</v>
      </c>
      <c r="N62" s="13">
        <v>0</v>
      </c>
      <c r="O62" s="13">
        <v>0</v>
      </c>
      <c r="P62" s="13">
        <v>0</v>
      </c>
      <c r="Q62" s="13">
        <v>0</v>
      </c>
      <c r="R62" s="14">
        <v>0</v>
      </c>
      <c r="S62" s="13">
        <v>0</v>
      </c>
      <c r="T62" s="13">
        <v>0</v>
      </c>
      <c r="U62" s="14">
        <v>0</v>
      </c>
      <c r="V62" s="14">
        <v>0</v>
      </c>
      <c r="W62" s="13">
        <v>0</v>
      </c>
    </row>
    <row r="63" spans="1:23" ht="19.5" customHeight="1">
      <c r="A63" s="12" t="s">
        <v>59</v>
      </c>
      <c r="B63" s="49" t="s">
        <v>389</v>
      </c>
      <c r="C63" s="14">
        <f t="shared" si="0"/>
        <v>541937</v>
      </c>
      <c r="D63" s="13">
        <v>0</v>
      </c>
      <c r="E63" s="13">
        <v>0</v>
      </c>
      <c r="F63" s="14">
        <v>0</v>
      </c>
      <c r="G63" s="13">
        <v>0</v>
      </c>
      <c r="H63" s="14">
        <v>541937</v>
      </c>
      <c r="I63" s="13">
        <v>0</v>
      </c>
      <c r="J63" s="36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0</v>
      </c>
      <c r="S63" s="13">
        <v>0</v>
      </c>
      <c r="T63" s="13">
        <v>0</v>
      </c>
      <c r="U63" s="14">
        <v>0</v>
      </c>
      <c r="V63" s="14">
        <v>0</v>
      </c>
      <c r="W63" s="13">
        <v>0</v>
      </c>
    </row>
    <row r="64" spans="1:23" ht="19.5" customHeight="1">
      <c r="A64" s="12" t="s">
        <v>60</v>
      </c>
      <c r="B64" s="54" t="s">
        <v>390</v>
      </c>
      <c r="C64" s="14">
        <f t="shared" si="0"/>
        <v>3021408.83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3">
        <v>0</v>
      </c>
      <c r="J64" s="36">
        <v>1</v>
      </c>
      <c r="K64" s="13">
        <v>1435114.39</v>
      </c>
      <c r="L64" s="13">
        <v>551.8</v>
      </c>
      <c r="M64" s="13">
        <v>1508470.7</v>
      </c>
      <c r="N64" s="13">
        <v>0</v>
      </c>
      <c r="O64" s="13">
        <v>0</v>
      </c>
      <c r="P64" s="13">
        <v>0</v>
      </c>
      <c r="Q64" s="13">
        <v>0</v>
      </c>
      <c r="R64" s="14">
        <v>0</v>
      </c>
      <c r="S64" s="13">
        <v>0</v>
      </c>
      <c r="T64" s="13">
        <v>0</v>
      </c>
      <c r="U64" s="14">
        <v>0</v>
      </c>
      <c r="V64" s="14">
        <v>0</v>
      </c>
      <c r="W64" s="13">
        <v>77823.74</v>
      </c>
    </row>
    <row r="65" spans="1:23" ht="19.5" customHeight="1">
      <c r="A65" s="12" t="s">
        <v>61</v>
      </c>
      <c r="B65" s="53" t="s">
        <v>391</v>
      </c>
      <c r="C65" s="14">
        <f t="shared" si="0"/>
        <v>665551</v>
      </c>
      <c r="D65" s="13">
        <v>0</v>
      </c>
      <c r="E65" s="13">
        <v>0</v>
      </c>
      <c r="F65" s="14">
        <v>0</v>
      </c>
      <c r="G65" s="13">
        <v>0</v>
      </c>
      <c r="H65" s="13">
        <v>0</v>
      </c>
      <c r="I65" s="13">
        <v>0</v>
      </c>
      <c r="J65" s="36">
        <v>0</v>
      </c>
      <c r="K65" s="13">
        <v>0</v>
      </c>
      <c r="L65" s="13">
        <v>780</v>
      </c>
      <c r="M65" s="13">
        <v>665551</v>
      </c>
      <c r="N65" s="13">
        <v>0</v>
      </c>
      <c r="O65" s="13">
        <v>0</v>
      </c>
      <c r="P65" s="13">
        <v>0</v>
      </c>
      <c r="Q65" s="13">
        <v>0</v>
      </c>
      <c r="R65" s="14">
        <v>0</v>
      </c>
      <c r="S65" s="13">
        <v>0</v>
      </c>
      <c r="T65" s="13">
        <v>0</v>
      </c>
      <c r="U65" s="14">
        <v>0</v>
      </c>
      <c r="V65" s="14">
        <v>0</v>
      </c>
      <c r="W65" s="13">
        <v>0</v>
      </c>
    </row>
    <row r="66" spans="1:23" ht="19.5" customHeight="1">
      <c r="A66" s="12" t="s">
        <v>62</v>
      </c>
      <c r="B66" s="49" t="s">
        <v>392</v>
      </c>
      <c r="C66" s="14">
        <f t="shared" si="0"/>
        <v>1182287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3">
        <v>0</v>
      </c>
      <c r="J66" s="36">
        <v>0</v>
      </c>
      <c r="K66" s="13">
        <v>0</v>
      </c>
      <c r="L66" s="13">
        <v>1200</v>
      </c>
      <c r="M66" s="13">
        <v>1182287</v>
      </c>
      <c r="N66" s="13">
        <v>0</v>
      </c>
      <c r="O66" s="13">
        <v>0</v>
      </c>
      <c r="P66" s="13">
        <v>0</v>
      </c>
      <c r="Q66" s="13">
        <v>0</v>
      </c>
      <c r="R66" s="14">
        <v>0</v>
      </c>
      <c r="S66" s="13">
        <v>0</v>
      </c>
      <c r="T66" s="13">
        <v>0</v>
      </c>
      <c r="U66" s="14">
        <v>0</v>
      </c>
      <c r="V66" s="14">
        <v>0</v>
      </c>
      <c r="W66" s="13">
        <v>0</v>
      </c>
    </row>
    <row r="67" spans="1:23" ht="19.5" customHeight="1">
      <c r="A67" s="12" t="s">
        <v>606</v>
      </c>
      <c r="B67" s="49" t="s">
        <v>393</v>
      </c>
      <c r="C67" s="14">
        <f t="shared" si="0"/>
        <v>903810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36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f>650000+253810</f>
        <v>903810</v>
      </c>
    </row>
    <row r="68" spans="1:23" ht="19.5" customHeight="1">
      <c r="A68" s="12" t="s">
        <v>607</v>
      </c>
      <c r="B68" s="50" t="s">
        <v>345</v>
      </c>
      <c r="C68" s="14">
        <f t="shared" si="0"/>
        <v>250000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36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250000</v>
      </c>
    </row>
    <row r="69" spans="1:23" ht="19.5" customHeight="1">
      <c r="A69" s="12" t="s">
        <v>63</v>
      </c>
      <c r="B69" s="50" t="s">
        <v>302</v>
      </c>
      <c r="C69" s="14">
        <f t="shared" si="0"/>
        <v>250000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36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250000</v>
      </c>
    </row>
    <row r="70" spans="1:23" ht="19.5" customHeight="1">
      <c r="A70" s="12" t="s">
        <v>64</v>
      </c>
      <c r="B70" s="49" t="s">
        <v>577</v>
      </c>
      <c r="C70" s="14">
        <f aca="true" t="shared" si="1" ref="C70:C132">D70+E70+F70+G70+H70+I70+K70+M70+O70+Q70+R70+T70+U70+V70+W70</f>
        <v>832000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36">
        <v>0</v>
      </c>
      <c r="K70" s="13">
        <v>0</v>
      </c>
      <c r="L70" s="13">
        <v>640</v>
      </c>
      <c r="M70" s="13">
        <v>832000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</row>
    <row r="71" spans="1:23" ht="19.5" customHeight="1">
      <c r="A71" s="12" t="s">
        <v>65</v>
      </c>
      <c r="B71" s="49" t="s">
        <v>394</v>
      </c>
      <c r="C71" s="14">
        <f t="shared" si="1"/>
        <v>962310.06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3">
        <v>0</v>
      </c>
      <c r="J71" s="36">
        <v>0</v>
      </c>
      <c r="K71" s="13">
        <v>0</v>
      </c>
      <c r="L71" s="13">
        <v>588</v>
      </c>
      <c r="M71" s="13">
        <v>962310.06</v>
      </c>
      <c r="N71" s="13">
        <v>0</v>
      </c>
      <c r="O71" s="13">
        <v>0</v>
      </c>
      <c r="P71" s="13">
        <v>0</v>
      </c>
      <c r="Q71" s="13">
        <v>0</v>
      </c>
      <c r="R71" s="14">
        <v>0</v>
      </c>
      <c r="S71" s="13">
        <v>0</v>
      </c>
      <c r="T71" s="13">
        <v>0</v>
      </c>
      <c r="U71" s="14">
        <v>0</v>
      </c>
      <c r="V71" s="14">
        <v>0</v>
      </c>
      <c r="W71" s="13">
        <v>0</v>
      </c>
    </row>
    <row r="72" spans="1:23" ht="19.5" customHeight="1">
      <c r="A72" s="12" t="s">
        <v>66</v>
      </c>
      <c r="B72" s="49" t="s">
        <v>395</v>
      </c>
      <c r="C72" s="14">
        <f t="shared" si="1"/>
        <v>992899.2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3">
        <v>0</v>
      </c>
      <c r="J72" s="36">
        <v>0</v>
      </c>
      <c r="K72" s="13">
        <v>0</v>
      </c>
      <c r="L72" s="13">
        <v>566</v>
      </c>
      <c r="M72" s="13">
        <v>992899.2</v>
      </c>
      <c r="N72" s="13">
        <v>0</v>
      </c>
      <c r="O72" s="13">
        <v>0</v>
      </c>
      <c r="P72" s="13">
        <v>0</v>
      </c>
      <c r="Q72" s="13">
        <v>0</v>
      </c>
      <c r="R72" s="14">
        <v>0</v>
      </c>
      <c r="S72" s="13">
        <v>0</v>
      </c>
      <c r="T72" s="13">
        <v>0</v>
      </c>
      <c r="U72" s="14">
        <v>0</v>
      </c>
      <c r="V72" s="14">
        <v>0</v>
      </c>
      <c r="W72" s="13">
        <v>0</v>
      </c>
    </row>
    <row r="73" spans="1:23" ht="19.5" customHeight="1">
      <c r="A73" s="12" t="s">
        <v>608</v>
      </c>
      <c r="B73" s="49" t="s">
        <v>396</v>
      </c>
      <c r="C73" s="14">
        <f t="shared" si="1"/>
        <v>1050366.38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3">
        <v>0</v>
      </c>
      <c r="J73" s="36">
        <v>0</v>
      </c>
      <c r="K73" s="13">
        <v>0</v>
      </c>
      <c r="L73" s="13">
        <v>596.1</v>
      </c>
      <c r="M73" s="13">
        <v>1050366.38</v>
      </c>
      <c r="N73" s="13">
        <v>0</v>
      </c>
      <c r="O73" s="13">
        <v>0</v>
      </c>
      <c r="P73" s="13">
        <v>0</v>
      </c>
      <c r="Q73" s="13">
        <v>0</v>
      </c>
      <c r="R73" s="14">
        <v>0</v>
      </c>
      <c r="S73" s="13">
        <v>0</v>
      </c>
      <c r="T73" s="13">
        <v>0</v>
      </c>
      <c r="U73" s="14">
        <v>0</v>
      </c>
      <c r="V73" s="14">
        <v>0</v>
      </c>
      <c r="W73" s="13">
        <v>0</v>
      </c>
    </row>
    <row r="74" spans="1:23" ht="19.5" customHeight="1">
      <c r="A74" s="12" t="s">
        <v>587</v>
      </c>
      <c r="B74" s="49" t="s">
        <v>397</v>
      </c>
      <c r="C74" s="14">
        <f t="shared" si="1"/>
        <v>1046831.1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3">
        <v>0</v>
      </c>
      <c r="J74" s="36">
        <v>0</v>
      </c>
      <c r="K74" s="13">
        <v>0</v>
      </c>
      <c r="L74" s="13">
        <v>595.26</v>
      </c>
      <c r="M74" s="13">
        <v>1046831.1</v>
      </c>
      <c r="N74" s="13">
        <v>0</v>
      </c>
      <c r="O74" s="13">
        <v>0</v>
      </c>
      <c r="P74" s="13">
        <v>0</v>
      </c>
      <c r="Q74" s="13">
        <v>0</v>
      </c>
      <c r="R74" s="14">
        <v>0</v>
      </c>
      <c r="S74" s="13">
        <v>0</v>
      </c>
      <c r="T74" s="13">
        <v>0</v>
      </c>
      <c r="U74" s="14">
        <v>0</v>
      </c>
      <c r="V74" s="14">
        <v>0</v>
      </c>
      <c r="W74" s="13">
        <v>0</v>
      </c>
    </row>
    <row r="75" spans="1:23" ht="19.5" customHeight="1">
      <c r="A75" s="12" t="s">
        <v>67</v>
      </c>
      <c r="B75" s="49" t="s">
        <v>398</v>
      </c>
      <c r="C75" s="14">
        <f t="shared" si="1"/>
        <v>1946332.12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3">
        <v>0</v>
      </c>
      <c r="J75" s="36">
        <v>0</v>
      </c>
      <c r="K75" s="13">
        <v>0</v>
      </c>
      <c r="L75" s="13">
        <v>1078.6</v>
      </c>
      <c r="M75" s="13">
        <v>1946332.12</v>
      </c>
      <c r="N75" s="13">
        <v>0</v>
      </c>
      <c r="O75" s="13">
        <v>0</v>
      </c>
      <c r="P75" s="13">
        <v>0</v>
      </c>
      <c r="Q75" s="13">
        <v>0</v>
      </c>
      <c r="R75" s="14">
        <v>0</v>
      </c>
      <c r="S75" s="13">
        <v>0</v>
      </c>
      <c r="T75" s="13">
        <v>0</v>
      </c>
      <c r="U75" s="14">
        <v>0</v>
      </c>
      <c r="V75" s="14">
        <v>0</v>
      </c>
      <c r="W75" s="13">
        <v>0</v>
      </c>
    </row>
    <row r="76" spans="1:23" ht="19.5" customHeight="1">
      <c r="A76" s="12" t="s">
        <v>68</v>
      </c>
      <c r="B76" s="49" t="s">
        <v>399</v>
      </c>
      <c r="C76" s="14">
        <f t="shared" si="1"/>
        <v>935262.1</v>
      </c>
      <c r="D76" s="13">
        <v>0</v>
      </c>
      <c r="E76" s="13">
        <v>0</v>
      </c>
      <c r="F76" s="14">
        <v>0</v>
      </c>
      <c r="G76" s="13">
        <v>0</v>
      </c>
      <c r="H76" s="13">
        <v>0</v>
      </c>
      <c r="I76" s="13">
        <v>0</v>
      </c>
      <c r="J76" s="36">
        <v>0</v>
      </c>
      <c r="K76" s="13">
        <v>0</v>
      </c>
      <c r="L76" s="13">
        <v>537.8</v>
      </c>
      <c r="M76" s="13">
        <v>935262.1</v>
      </c>
      <c r="N76" s="13">
        <v>0</v>
      </c>
      <c r="O76" s="13">
        <v>0</v>
      </c>
      <c r="P76" s="13">
        <v>0</v>
      </c>
      <c r="Q76" s="13">
        <v>0</v>
      </c>
      <c r="R76" s="14">
        <v>0</v>
      </c>
      <c r="S76" s="13">
        <v>0</v>
      </c>
      <c r="T76" s="13">
        <v>0</v>
      </c>
      <c r="U76" s="14">
        <v>0</v>
      </c>
      <c r="V76" s="14">
        <v>0</v>
      </c>
      <c r="W76" s="13">
        <v>0</v>
      </c>
    </row>
    <row r="77" spans="1:23" ht="19.5" customHeight="1">
      <c r="A77" s="12" t="s">
        <v>69</v>
      </c>
      <c r="B77" s="49" t="s">
        <v>400</v>
      </c>
      <c r="C77" s="14">
        <f t="shared" si="1"/>
        <v>1065693.4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3">
        <v>0</v>
      </c>
      <c r="J77" s="36">
        <v>0</v>
      </c>
      <c r="K77" s="13">
        <v>0</v>
      </c>
      <c r="L77" s="14">
        <v>645.63</v>
      </c>
      <c r="M77" s="14">
        <v>1065693.4</v>
      </c>
      <c r="N77" s="13">
        <v>0</v>
      </c>
      <c r="O77" s="13">
        <v>0</v>
      </c>
      <c r="P77" s="13">
        <v>0</v>
      </c>
      <c r="Q77" s="13">
        <v>0</v>
      </c>
      <c r="R77" s="14">
        <v>0</v>
      </c>
      <c r="S77" s="13">
        <v>0</v>
      </c>
      <c r="T77" s="13">
        <v>0</v>
      </c>
      <c r="U77" s="14">
        <v>0</v>
      </c>
      <c r="V77" s="14">
        <v>0</v>
      </c>
      <c r="W77" s="13">
        <v>0</v>
      </c>
    </row>
    <row r="78" spans="1:23" ht="19.5" customHeight="1">
      <c r="A78" s="12" t="s">
        <v>70</v>
      </c>
      <c r="B78" s="49" t="s">
        <v>401</v>
      </c>
      <c r="C78" s="14">
        <f t="shared" si="1"/>
        <v>738089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3">
        <v>0</v>
      </c>
      <c r="J78" s="36">
        <v>0</v>
      </c>
      <c r="K78" s="13">
        <v>0</v>
      </c>
      <c r="L78" s="13">
        <v>667.1</v>
      </c>
      <c r="M78" s="13">
        <v>738089</v>
      </c>
      <c r="N78" s="13">
        <v>0</v>
      </c>
      <c r="O78" s="13">
        <v>0</v>
      </c>
      <c r="P78" s="13">
        <v>0</v>
      </c>
      <c r="Q78" s="13">
        <v>0</v>
      </c>
      <c r="R78" s="14">
        <v>0</v>
      </c>
      <c r="S78" s="13">
        <v>0</v>
      </c>
      <c r="T78" s="13">
        <v>0</v>
      </c>
      <c r="U78" s="14">
        <v>0</v>
      </c>
      <c r="V78" s="14">
        <v>0</v>
      </c>
      <c r="W78" s="13">
        <v>0</v>
      </c>
    </row>
    <row r="79" spans="1:23" ht="19.5" customHeight="1">
      <c r="A79" s="12" t="s">
        <v>71</v>
      </c>
      <c r="B79" s="49" t="s">
        <v>402</v>
      </c>
      <c r="C79" s="14">
        <f t="shared" si="1"/>
        <v>737426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3">
        <v>0</v>
      </c>
      <c r="J79" s="36">
        <v>0</v>
      </c>
      <c r="K79" s="13">
        <v>0</v>
      </c>
      <c r="L79" s="13">
        <v>653.8</v>
      </c>
      <c r="M79" s="13">
        <v>737426</v>
      </c>
      <c r="N79" s="13">
        <v>0</v>
      </c>
      <c r="O79" s="13">
        <v>0</v>
      </c>
      <c r="P79" s="13">
        <v>0</v>
      </c>
      <c r="Q79" s="13">
        <v>0</v>
      </c>
      <c r="R79" s="14">
        <v>0</v>
      </c>
      <c r="S79" s="13">
        <v>0</v>
      </c>
      <c r="T79" s="13">
        <v>0</v>
      </c>
      <c r="U79" s="14">
        <v>0</v>
      </c>
      <c r="V79" s="14">
        <v>0</v>
      </c>
      <c r="W79" s="13">
        <v>0</v>
      </c>
    </row>
    <row r="80" spans="1:23" ht="19.5" customHeight="1">
      <c r="A80" s="12" t="s">
        <v>72</v>
      </c>
      <c r="B80" s="54" t="s">
        <v>403</v>
      </c>
      <c r="C80" s="14">
        <f t="shared" si="1"/>
        <v>3120456.69</v>
      </c>
      <c r="D80" s="13">
        <v>0</v>
      </c>
      <c r="E80" s="14">
        <v>3018006.69</v>
      </c>
      <c r="F80" s="14">
        <v>0</v>
      </c>
      <c r="G80" s="13">
        <v>0</v>
      </c>
      <c r="H80" s="13">
        <v>0</v>
      </c>
      <c r="I80" s="13">
        <v>0</v>
      </c>
      <c r="J80" s="36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">
        <v>0</v>
      </c>
      <c r="S80" s="13">
        <v>0</v>
      </c>
      <c r="T80" s="13">
        <v>0</v>
      </c>
      <c r="U80" s="14">
        <v>0</v>
      </c>
      <c r="V80" s="14">
        <v>0</v>
      </c>
      <c r="W80" s="13">
        <v>102450</v>
      </c>
    </row>
    <row r="81" spans="1:23" ht="19.5" customHeight="1">
      <c r="A81" s="12" t="s">
        <v>73</v>
      </c>
      <c r="B81" s="49" t="s">
        <v>404</v>
      </c>
      <c r="C81" s="14">
        <f t="shared" si="1"/>
        <v>74459</v>
      </c>
      <c r="D81" s="13">
        <v>0</v>
      </c>
      <c r="E81" s="13">
        <v>0</v>
      </c>
      <c r="F81" s="14">
        <v>0</v>
      </c>
      <c r="G81" s="13">
        <v>0</v>
      </c>
      <c r="H81" s="13">
        <v>74459</v>
      </c>
      <c r="I81" s="13">
        <v>0</v>
      </c>
      <c r="J81" s="36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4">
        <v>0</v>
      </c>
      <c r="S81" s="13">
        <v>0</v>
      </c>
      <c r="T81" s="13">
        <v>0</v>
      </c>
      <c r="U81" s="14">
        <v>0</v>
      </c>
      <c r="V81" s="14">
        <v>0</v>
      </c>
      <c r="W81" s="13">
        <v>0</v>
      </c>
    </row>
    <row r="82" spans="1:23" ht="19.5" customHeight="1">
      <c r="A82" s="12" t="s">
        <v>74</v>
      </c>
      <c r="B82" s="49" t="s">
        <v>405</v>
      </c>
      <c r="C82" s="14">
        <f t="shared" si="1"/>
        <v>1051276.16</v>
      </c>
      <c r="D82" s="13">
        <v>0</v>
      </c>
      <c r="E82" s="13">
        <v>0</v>
      </c>
      <c r="F82" s="14">
        <v>0</v>
      </c>
      <c r="G82" s="13">
        <v>0</v>
      </c>
      <c r="H82" s="13">
        <v>0</v>
      </c>
      <c r="I82" s="13">
        <v>0</v>
      </c>
      <c r="J82" s="36">
        <v>0</v>
      </c>
      <c r="K82" s="13">
        <v>0</v>
      </c>
      <c r="L82" s="13">
        <v>628.7</v>
      </c>
      <c r="M82" s="13">
        <v>1051276.16</v>
      </c>
      <c r="N82" s="13">
        <v>0</v>
      </c>
      <c r="O82" s="13">
        <v>0</v>
      </c>
      <c r="P82" s="13">
        <v>0</v>
      </c>
      <c r="Q82" s="13">
        <v>0</v>
      </c>
      <c r="R82" s="14">
        <v>0</v>
      </c>
      <c r="S82" s="13">
        <v>0</v>
      </c>
      <c r="T82" s="13">
        <v>0</v>
      </c>
      <c r="U82" s="14">
        <v>0</v>
      </c>
      <c r="V82" s="14">
        <v>0</v>
      </c>
      <c r="W82" s="13">
        <v>0</v>
      </c>
    </row>
    <row r="83" spans="1:23" ht="19.5" customHeight="1">
      <c r="A83" s="12" t="s">
        <v>588</v>
      </c>
      <c r="B83" s="49" t="s">
        <v>406</v>
      </c>
      <c r="C83" s="14">
        <f t="shared" si="1"/>
        <v>77874.1</v>
      </c>
      <c r="D83" s="13">
        <v>0</v>
      </c>
      <c r="E83" s="13">
        <v>0</v>
      </c>
      <c r="F83" s="14">
        <v>0</v>
      </c>
      <c r="G83" s="13">
        <v>0</v>
      </c>
      <c r="H83" s="13">
        <v>77874.1</v>
      </c>
      <c r="I83" s="13">
        <v>0</v>
      </c>
      <c r="J83" s="36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0</v>
      </c>
      <c r="S83" s="13">
        <v>0</v>
      </c>
      <c r="T83" s="13">
        <v>0</v>
      </c>
      <c r="U83" s="14">
        <v>0</v>
      </c>
      <c r="V83" s="14">
        <v>0</v>
      </c>
      <c r="W83" s="13">
        <v>0</v>
      </c>
    </row>
    <row r="84" spans="1:23" ht="19.5" customHeight="1">
      <c r="A84" s="12" t="s">
        <v>609</v>
      </c>
      <c r="B84" s="49" t="s">
        <v>407</v>
      </c>
      <c r="C84" s="14">
        <f t="shared" si="1"/>
        <v>1217646.04</v>
      </c>
      <c r="D84" s="13">
        <v>0</v>
      </c>
      <c r="E84" s="13">
        <v>0</v>
      </c>
      <c r="F84" s="14">
        <v>0</v>
      </c>
      <c r="G84" s="13">
        <v>0</v>
      </c>
      <c r="H84" s="13">
        <v>64284.04</v>
      </c>
      <c r="I84" s="13">
        <v>0</v>
      </c>
      <c r="J84" s="36">
        <v>0</v>
      </c>
      <c r="K84" s="13">
        <v>0</v>
      </c>
      <c r="L84" s="13">
        <v>910.5</v>
      </c>
      <c r="M84" s="13">
        <v>1153362</v>
      </c>
      <c r="N84" s="13">
        <v>0</v>
      </c>
      <c r="O84" s="13">
        <v>0</v>
      </c>
      <c r="P84" s="13">
        <v>0</v>
      </c>
      <c r="Q84" s="13">
        <v>0</v>
      </c>
      <c r="R84" s="14">
        <v>0</v>
      </c>
      <c r="S84" s="13">
        <v>0</v>
      </c>
      <c r="T84" s="13">
        <v>0</v>
      </c>
      <c r="U84" s="14">
        <v>0</v>
      </c>
      <c r="V84" s="14">
        <v>0</v>
      </c>
      <c r="W84" s="13">
        <v>0</v>
      </c>
    </row>
    <row r="85" spans="1:23" ht="19.5" customHeight="1">
      <c r="A85" s="12" t="s">
        <v>75</v>
      </c>
      <c r="B85" s="49" t="s">
        <v>408</v>
      </c>
      <c r="C85" s="14">
        <f t="shared" si="1"/>
        <v>4137375.74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3">
        <v>0</v>
      </c>
      <c r="J85" s="36">
        <v>3</v>
      </c>
      <c r="K85" s="13">
        <v>4050000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0</v>
      </c>
      <c r="S85" s="13">
        <v>0</v>
      </c>
      <c r="T85" s="13">
        <v>0</v>
      </c>
      <c r="U85" s="14">
        <v>0</v>
      </c>
      <c r="V85" s="14">
        <v>0</v>
      </c>
      <c r="W85" s="13">
        <v>87375.74</v>
      </c>
    </row>
    <row r="86" spans="1:23" ht="19.5" customHeight="1">
      <c r="A86" s="12" t="s">
        <v>76</v>
      </c>
      <c r="B86" s="49" t="s">
        <v>409</v>
      </c>
      <c r="C86" s="14">
        <f t="shared" si="1"/>
        <v>387038</v>
      </c>
      <c r="D86" s="13">
        <v>0</v>
      </c>
      <c r="E86" s="13">
        <v>0</v>
      </c>
      <c r="F86" s="14">
        <v>0</v>
      </c>
      <c r="G86" s="13">
        <v>0</v>
      </c>
      <c r="H86" s="14">
        <v>387038</v>
      </c>
      <c r="I86" s="13">
        <v>0</v>
      </c>
      <c r="J86" s="36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0</v>
      </c>
      <c r="S86" s="13">
        <v>0</v>
      </c>
      <c r="T86" s="13">
        <v>0</v>
      </c>
      <c r="U86" s="14">
        <v>0</v>
      </c>
      <c r="V86" s="14">
        <v>0</v>
      </c>
      <c r="W86" s="13">
        <v>0</v>
      </c>
    </row>
    <row r="87" spans="1:23" ht="19.5" customHeight="1">
      <c r="A87" s="12" t="s">
        <v>77</v>
      </c>
      <c r="B87" s="49" t="s">
        <v>410</v>
      </c>
      <c r="C87" s="14">
        <f t="shared" si="1"/>
        <v>273229</v>
      </c>
      <c r="D87" s="13">
        <v>0</v>
      </c>
      <c r="E87" s="13">
        <v>0</v>
      </c>
      <c r="F87" s="14">
        <v>0</v>
      </c>
      <c r="G87" s="13">
        <v>0</v>
      </c>
      <c r="H87" s="14">
        <v>273229</v>
      </c>
      <c r="I87" s="13">
        <v>0</v>
      </c>
      <c r="J87" s="36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4">
        <v>0</v>
      </c>
      <c r="S87" s="13">
        <v>0</v>
      </c>
      <c r="T87" s="13">
        <v>0</v>
      </c>
      <c r="U87" s="14">
        <v>0</v>
      </c>
      <c r="V87" s="14">
        <v>0</v>
      </c>
      <c r="W87" s="13">
        <v>0</v>
      </c>
    </row>
    <row r="88" spans="1:23" ht="19.5" customHeight="1">
      <c r="A88" s="12" t="s">
        <v>78</v>
      </c>
      <c r="B88" s="49" t="s">
        <v>411</v>
      </c>
      <c r="C88" s="14">
        <f t="shared" si="1"/>
        <v>756724.2999999999</v>
      </c>
      <c r="D88" s="13">
        <v>118788.19</v>
      </c>
      <c r="E88" s="13">
        <v>446188.77</v>
      </c>
      <c r="F88" s="14">
        <v>0</v>
      </c>
      <c r="G88" s="13">
        <v>0</v>
      </c>
      <c r="H88" s="13">
        <v>0</v>
      </c>
      <c r="I88" s="13">
        <v>15827.34</v>
      </c>
      <c r="J88" s="36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">
        <v>0</v>
      </c>
      <c r="S88" s="13">
        <v>0</v>
      </c>
      <c r="T88" s="13">
        <v>0</v>
      </c>
      <c r="U88" s="14">
        <v>0</v>
      </c>
      <c r="V88" s="14">
        <v>0</v>
      </c>
      <c r="W88" s="13">
        <f>42680+133240</f>
        <v>175920</v>
      </c>
    </row>
    <row r="89" spans="1:23" ht="19.5" customHeight="1">
      <c r="A89" s="12" t="s">
        <v>79</v>
      </c>
      <c r="B89" s="49" t="s">
        <v>412</v>
      </c>
      <c r="C89" s="14">
        <f t="shared" si="1"/>
        <v>1789634</v>
      </c>
      <c r="D89" s="13">
        <v>0</v>
      </c>
      <c r="E89" s="13">
        <v>0</v>
      </c>
      <c r="F89" s="14">
        <v>0</v>
      </c>
      <c r="G89" s="13">
        <v>0</v>
      </c>
      <c r="H89" s="14">
        <v>430370</v>
      </c>
      <c r="I89" s="13">
        <v>0</v>
      </c>
      <c r="J89" s="36">
        <v>0</v>
      </c>
      <c r="K89" s="13">
        <v>0</v>
      </c>
      <c r="L89" s="14">
        <v>876</v>
      </c>
      <c r="M89" s="14">
        <v>1359264</v>
      </c>
      <c r="N89" s="13">
        <v>0</v>
      </c>
      <c r="O89" s="13">
        <v>0</v>
      </c>
      <c r="P89" s="13">
        <v>0</v>
      </c>
      <c r="Q89" s="13">
        <v>0</v>
      </c>
      <c r="R89" s="14">
        <v>0</v>
      </c>
      <c r="S89" s="13">
        <v>0</v>
      </c>
      <c r="T89" s="13">
        <v>0</v>
      </c>
      <c r="U89" s="14">
        <v>0</v>
      </c>
      <c r="V89" s="14">
        <v>0</v>
      </c>
      <c r="W89" s="13">
        <v>0</v>
      </c>
    </row>
    <row r="90" spans="1:23" ht="19.5" customHeight="1">
      <c r="A90" s="12" t="s">
        <v>80</v>
      </c>
      <c r="B90" s="49" t="s">
        <v>413</v>
      </c>
      <c r="C90" s="14">
        <f t="shared" si="1"/>
        <v>1402453.83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36">
        <v>0</v>
      </c>
      <c r="K90" s="13">
        <v>0</v>
      </c>
      <c r="L90" s="13">
        <v>800</v>
      </c>
      <c r="M90" s="13">
        <v>1152453.83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250000</v>
      </c>
    </row>
    <row r="91" spans="1:23" ht="19.5" customHeight="1">
      <c r="A91" s="12" t="s">
        <v>81</v>
      </c>
      <c r="B91" s="49" t="s">
        <v>414</v>
      </c>
      <c r="C91" s="14">
        <f t="shared" si="1"/>
        <v>1534107.78</v>
      </c>
      <c r="D91" s="13">
        <v>633075.78</v>
      </c>
      <c r="E91" s="13">
        <v>0</v>
      </c>
      <c r="F91" s="14">
        <v>0</v>
      </c>
      <c r="G91" s="13">
        <v>0</v>
      </c>
      <c r="H91" s="13">
        <v>0</v>
      </c>
      <c r="I91" s="13">
        <v>0</v>
      </c>
      <c r="J91" s="36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1311</v>
      </c>
      <c r="Q91" s="13">
        <v>747222</v>
      </c>
      <c r="R91" s="14">
        <v>0</v>
      </c>
      <c r="S91" s="13">
        <v>0</v>
      </c>
      <c r="T91" s="13">
        <v>0</v>
      </c>
      <c r="U91" s="14">
        <v>0</v>
      </c>
      <c r="V91" s="14">
        <v>0</v>
      </c>
      <c r="W91" s="13">
        <v>153810</v>
      </c>
    </row>
    <row r="92" spans="1:23" ht="19.5" customHeight="1">
      <c r="A92" s="12" t="s">
        <v>82</v>
      </c>
      <c r="B92" s="49" t="s">
        <v>415</v>
      </c>
      <c r="C92" s="14">
        <f t="shared" si="1"/>
        <v>557848.26</v>
      </c>
      <c r="D92" s="13">
        <v>0</v>
      </c>
      <c r="E92" s="13">
        <v>0</v>
      </c>
      <c r="F92" s="13">
        <v>0</v>
      </c>
      <c r="G92" s="13">
        <v>457848.26</v>
      </c>
      <c r="H92" s="13">
        <v>0</v>
      </c>
      <c r="I92" s="13">
        <v>0</v>
      </c>
      <c r="J92" s="36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100000</v>
      </c>
    </row>
    <row r="93" spans="1:23" ht="19.5" customHeight="1">
      <c r="A93" s="12" t="s">
        <v>83</v>
      </c>
      <c r="B93" s="49" t="s">
        <v>416</v>
      </c>
      <c r="C93" s="14">
        <f t="shared" si="1"/>
        <v>820349</v>
      </c>
      <c r="D93" s="13">
        <v>0</v>
      </c>
      <c r="E93" s="13">
        <v>0</v>
      </c>
      <c r="F93" s="14">
        <v>0</v>
      </c>
      <c r="G93" s="13">
        <v>0</v>
      </c>
      <c r="H93" s="13">
        <v>0</v>
      </c>
      <c r="I93" s="13">
        <v>0</v>
      </c>
      <c r="J93" s="36">
        <v>0</v>
      </c>
      <c r="K93" s="13">
        <v>0</v>
      </c>
      <c r="L93" s="14">
        <v>630</v>
      </c>
      <c r="M93" s="14">
        <v>820349</v>
      </c>
      <c r="N93" s="13">
        <v>0</v>
      </c>
      <c r="O93" s="13">
        <v>0</v>
      </c>
      <c r="P93" s="13">
        <v>0</v>
      </c>
      <c r="Q93" s="13">
        <v>0</v>
      </c>
      <c r="R93" s="14">
        <v>0</v>
      </c>
      <c r="S93" s="13">
        <v>0</v>
      </c>
      <c r="T93" s="13">
        <v>0</v>
      </c>
      <c r="U93" s="14">
        <v>0</v>
      </c>
      <c r="V93" s="14">
        <v>0</v>
      </c>
      <c r="W93" s="13">
        <v>0</v>
      </c>
    </row>
    <row r="94" spans="1:23" ht="21" customHeight="1">
      <c r="A94" s="12" t="s">
        <v>84</v>
      </c>
      <c r="B94" s="49" t="s">
        <v>603</v>
      </c>
      <c r="C94" s="14">
        <f t="shared" si="1"/>
        <v>141439</v>
      </c>
      <c r="D94" s="13">
        <v>0</v>
      </c>
      <c r="E94" s="13">
        <v>0</v>
      </c>
      <c r="F94" s="14">
        <v>0</v>
      </c>
      <c r="G94" s="13">
        <v>0</v>
      </c>
      <c r="H94" s="13">
        <v>0</v>
      </c>
      <c r="I94" s="13">
        <v>0</v>
      </c>
      <c r="J94" s="36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223</v>
      </c>
      <c r="Q94" s="13">
        <v>141439</v>
      </c>
      <c r="R94" s="14">
        <v>0</v>
      </c>
      <c r="S94" s="13">
        <v>0</v>
      </c>
      <c r="T94" s="13">
        <v>0</v>
      </c>
      <c r="U94" s="14">
        <v>0</v>
      </c>
      <c r="V94" s="14">
        <v>0</v>
      </c>
      <c r="W94" s="13">
        <v>0</v>
      </c>
    </row>
    <row r="95" spans="1:23" ht="19.5" customHeight="1">
      <c r="A95" s="12" t="s">
        <v>85</v>
      </c>
      <c r="B95" s="49" t="s">
        <v>417</v>
      </c>
      <c r="C95" s="14">
        <f t="shared" si="1"/>
        <v>676714</v>
      </c>
      <c r="D95" s="13">
        <v>0</v>
      </c>
      <c r="E95" s="13">
        <v>0</v>
      </c>
      <c r="F95" s="14">
        <v>0</v>
      </c>
      <c r="G95" s="13">
        <v>0</v>
      </c>
      <c r="H95" s="13">
        <v>676714</v>
      </c>
      <c r="I95" s="13">
        <v>0</v>
      </c>
      <c r="J95" s="36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4">
        <v>0</v>
      </c>
      <c r="S95" s="13">
        <v>0</v>
      </c>
      <c r="T95" s="13">
        <v>0</v>
      </c>
      <c r="U95" s="14">
        <v>0</v>
      </c>
      <c r="V95" s="14">
        <v>0</v>
      </c>
      <c r="W95" s="13">
        <v>0</v>
      </c>
    </row>
    <row r="96" spans="1:23" ht="19.5" customHeight="1">
      <c r="A96" s="12" t="s">
        <v>86</v>
      </c>
      <c r="B96" s="49" t="s">
        <v>418</v>
      </c>
      <c r="C96" s="14">
        <f t="shared" si="1"/>
        <v>2347533</v>
      </c>
      <c r="D96" s="13">
        <v>2144573</v>
      </c>
      <c r="E96" s="13">
        <v>0</v>
      </c>
      <c r="F96" s="14">
        <v>0</v>
      </c>
      <c r="G96" s="13">
        <v>0</v>
      </c>
      <c r="H96" s="13">
        <v>0</v>
      </c>
      <c r="I96" s="13">
        <v>0</v>
      </c>
      <c r="J96" s="36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">
        <v>0</v>
      </c>
      <c r="S96" s="13">
        <v>0</v>
      </c>
      <c r="T96" s="13">
        <v>0</v>
      </c>
      <c r="U96" s="14">
        <v>0</v>
      </c>
      <c r="V96" s="14">
        <v>0</v>
      </c>
      <c r="W96" s="13">
        <v>202960</v>
      </c>
    </row>
    <row r="97" spans="1:23" ht="19.5" customHeight="1">
      <c r="A97" s="12" t="s">
        <v>101</v>
      </c>
      <c r="B97" s="54" t="s">
        <v>419</v>
      </c>
      <c r="C97" s="14">
        <f t="shared" si="1"/>
        <v>1091748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3">
        <v>0</v>
      </c>
      <c r="J97" s="36">
        <v>0</v>
      </c>
      <c r="K97" s="13">
        <v>0</v>
      </c>
      <c r="L97" s="14">
        <v>790.7</v>
      </c>
      <c r="M97" s="14">
        <v>1091748</v>
      </c>
      <c r="N97" s="13">
        <v>0</v>
      </c>
      <c r="O97" s="13">
        <v>0</v>
      </c>
      <c r="P97" s="13">
        <v>0</v>
      </c>
      <c r="Q97" s="13">
        <v>0</v>
      </c>
      <c r="R97" s="14">
        <v>0</v>
      </c>
      <c r="S97" s="13">
        <v>0</v>
      </c>
      <c r="T97" s="13">
        <v>0</v>
      </c>
      <c r="U97" s="14">
        <v>0</v>
      </c>
      <c r="V97" s="14">
        <v>0</v>
      </c>
      <c r="W97" s="13">
        <v>0</v>
      </c>
    </row>
    <row r="98" spans="1:23" ht="19.5" customHeight="1">
      <c r="A98" s="12" t="s">
        <v>102</v>
      </c>
      <c r="B98" s="49" t="s">
        <v>420</v>
      </c>
      <c r="C98" s="14">
        <f t="shared" si="1"/>
        <v>450003</v>
      </c>
      <c r="D98" s="13">
        <v>0</v>
      </c>
      <c r="E98" s="13">
        <v>0</v>
      </c>
      <c r="F98" s="14">
        <v>0</v>
      </c>
      <c r="G98" s="14">
        <v>232261</v>
      </c>
      <c r="H98" s="14">
        <v>217742</v>
      </c>
      <c r="I98" s="13">
        <v>0</v>
      </c>
      <c r="J98" s="36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0</v>
      </c>
      <c r="S98" s="13">
        <v>0</v>
      </c>
      <c r="T98" s="13">
        <v>0</v>
      </c>
      <c r="U98" s="14">
        <v>0</v>
      </c>
      <c r="V98" s="14">
        <v>0</v>
      </c>
      <c r="W98" s="13">
        <v>0</v>
      </c>
    </row>
    <row r="99" spans="1:23" ht="19.5" customHeight="1">
      <c r="A99" s="12" t="s">
        <v>103</v>
      </c>
      <c r="B99" s="49" t="s">
        <v>421</v>
      </c>
      <c r="C99" s="14">
        <f t="shared" si="1"/>
        <v>2709232</v>
      </c>
      <c r="D99" s="13">
        <v>0</v>
      </c>
      <c r="E99" s="13">
        <v>2248499</v>
      </c>
      <c r="F99" s="14">
        <v>0</v>
      </c>
      <c r="G99" s="13">
        <v>0</v>
      </c>
      <c r="H99" s="13">
        <v>305152</v>
      </c>
      <c r="I99" s="13">
        <v>0</v>
      </c>
      <c r="J99" s="36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">
        <v>0</v>
      </c>
      <c r="S99" s="13">
        <v>0</v>
      </c>
      <c r="T99" s="13">
        <v>0</v>
      </c>
      <c r="U99" s="14">
        <v>0</v>
      </c>
      <c r="V99" s="14">
        <v>0</v>
      </c>
      <c r="W99" s="13">
        <v>155581</v>
      </c>
    </row>
    <row r="100" spans="1:23" ht="19.5" customHeight="1">
      <c r="A100" s="12" t="s">
        <v>104</v>
      </c>
      <c r="B100" s="49" t="s">
        <v>422</v>
      </c>
      <c r="C100" s="14">
        <f t="shared" si="1"/>
        <v>2397835</v>
      </c>
      <c r="D100" s="13">
        <v>0</v>
      </c>
      <c r="E100" s="13">
        <v>2248499</v>
      </c>
      <c r="F100" s="14">
        <v>0</v>
      </c>
      <c r="G100" s="13">
        <v>0</v>
      </c>
      <c r="H100" s="13">
        <v>0</v>
      </c>
      <c r="I100" s="13">
        <v>0</v>
      </c>
      <c r="J100" s="36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0</v>
      </c>
      <c r="S100" s="13">
        <v>0</v>
      </c>
      <c r="T100" s="13">
        <v>0</v>
      </c>
      <c r="U100" s="14">
        <v>0</v>
      </c>
      <c r="V100" s="14">
        <v>0</v>
      </c>
      <c r="W100" s="13">
        <v>149336</v>
      </c>
    </row>
    <row r="101" spans="1:23" ht="19.5" customHeight="1">
      <c r="A101" s="12" t="s">
        <v>105</v>
      </c>
      <c r="B101" s="49" t="s">
        <v>423</v>
      </c>
      <c r="C101" s="14">
        <f t="shared" si="1"/>
        <v>2822256</v>
      </c>
      <c r="D101" s="13">
        <v>0</v>
      </c>
      <c r="E101" s="13">
        <v>2248499</v>
      </c>
      <c r="F101" s="14">
        <v>0</v>
      </c>
      <c r="G101" s="13">
        <v>0</v>
      </c>
      <c r="H101" s="13">
        <v>418015</v>
      </c>
      <c r="I101" s="13">
        <v>0</v>
      </c>
      <c r="J101" s="36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0</v>
      </c>
      <c r="S101" s="13">
        <v>0</v>
      </c>
      <c r="T101" s="13">
        <v>0</v>
      </c>
      <c r="U101" s="14">
        <v>0</v>
      </c>
      <c r="V101" s="14">
        <v>0</v>
      </c>
      <c r="W101" s="13">
        <v>155742</v>
      </c>
    </row>
    <row r="102" spans="1:23" ht="19.5" customHeight="1">
      <c r="A102" s="12" t="s">
        <v>589</v>
      </c>
      <c r="B102" s="49" t="s">
        <v>424</v>
      </c>
      <c r="C102" s="14">
        <f t="shared" si="1"/>
        <v>2226107</v>
      </c>
      <c r="D102" s="13">
        <v>0</v>
      </c>
      <c r="E102" s="13">
        <v>0</v>
      </c>
      <c r="F102" s="14">
        <v>0</v>
      </c>
      <c r="G102" s="13">
        <v>0</v>
      </c>
      <c r="H102" s="13">
        <v>0</v>
      </c>
      <c r="I102" s="13">
        <v>0</v>
      </c>
      <c r="J102" s="36">
        <v>0</v>
      </c>
      <c r="K102" s="13">
        <v>0</v>
      </c>
      <c r="L102" s="13">
        <v>1650</v>
      </c>
      <c r="M102" s="13">
        <v>2226107</v>
      </c>
      <c r="N102" s="13">
        <v>0</v>
      </c>
      <c r="O102" s="13">
        <v>0</v>
      </c>
      <c r="P102" s="13">
        <v>0</v>
      </c>
      <c r="Q102" s="13">
        <v>0</v>
      </c>
      <c r="R102" s="14">
        <v>0</v>
      </c>
      <c r="S102" s="13">
        <v>0</v>
      </c>
      <c r="T102" s="13">
        <v>0</v>
      </c>
      <c r="U102" s="14">
        <v>0</v>
      </c>
      <c r="V102" s="14">
        <v>0</v>
      </c>
      <c r="W102" s="13">
        <v>0</v>
      </c>
    </row>
    <row r="103" spans="1:23" ht="19.5" customHeight="1">
      <c r="A103" s="12" t="s">
        <v>106</v>
      </c>
      <c r="B103" s="49" t="s">
        <v>425</v>
      </c>
      <c r="C103" s="14">
        <f t="shared" si="1"/>
        <v>955606</v>
      </c>
      <c r="D103" s="13">
        <v>905606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36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50000</v>
      </c>
    </row>
    <row r="104" spans="1:23" ht="19.5" customHeight="1">
      <c r="A104" s="12" t="s">
        <v>107</v>
      </c>
      <c r="B104" s="55" t="s">
        <v>303</v>
      </c>
      <c r="C104" s="14">
        <f t="shared" si="1"/>
        <v>250000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36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250000</v>
      </c>
    </row>
    <row r="105" spans="1:23" ht="19.5" customHeight="1">
      <c r="A105" s="12" t="s">
        <v>108</v>
      </c>
      <c r="B105" s="55" t="s">
        <v>304</v>
      </c>
      <c r="C105" s="14">
        <f t="shared" si="1"/>
        <v>250000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36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250000</v>
      </c>
    </row>
    <row r="106" spans="1:23" ht="19.5" customHeight="1">
      <c r="A106" s="12" t="s">
        <v>109</v>
      </c>
      <c r="B106" s="49" t="s">
        <v>426</v>
      </c>
      <c r="C106" s="14">
        <f t="shared" si="1"/>
        <v>1309069</v>
      </c>
      <c r="D106" s="13">
        <v>0</v>
      </c>
      <c r="E106" s="13">
        <v>0</v>
      </c>
      <c r="F106" s="14">
        <v>0</v>
      </c>
      <c r="G106" s="13">
        <v>0</v>
      </c>
      <c r="H106" s="13">
        <v>0</v>
      </c>
      <c r="I106" s="13">
        <v>0</v>
      </c>
      <c r="J106" s="36">
        <v>0</v>
      </c>
      <c r="K106" s="13">
        <v>0</v>
      </c>
      <c r="L106" s="13">
        <v>426.89</v>
      </c>
      <c r="M106" s="13">
        <v>1309069</v>
      </c>
      <c r="N106" s="13">
        <v>0</v>
      </c>
      <c r="O106" s="13">
        <v>0</v>
      </c>
      <c r="P106" s="13">
        <v>0</v>
      </c>
      <c r="Q106" s="13">
        <v>0</v>
      </c>
      <c r="R106" s="14">
        <v>0</v>
      </c>
      <c r="S106" s="13">
        <v>0</v>
      </c>
      <c r="T106" s="13">
        <v>0</v>
      </c>
      <c r="U106" s="14">
        <v>0</v>
      </c>
      <c r="V106" s="14">
        <v>0</v>
      </c>
      <c r="W106" s="13">
        <v>0</v>
      </c>
    </row>
    <row r="107" spans="1:23" ht="19.5" customHeight="1">
      <c r="A107" s="12" t="s">
        <v>110</v>
      </c>
      <c r="B107" s="49" t="s">
        <v>427</v>
      </c>
      <c r="C107" s="14">
        <f t="shared" si="1"/>
        <v>2814558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3">
        <v>0</v>
      </c>
      <c r="J107" s="36">
        <v>0</v>
      </c>
      <c r="K107" s="13">
        <v>0</v>
      </c>
      <c r="L107" s="14">
        <v>617.26</v>
      </c>
      <c r="M107" s="14">
        <v>2814558</v>
      </c>
      <c r="N107" s="13">
        <v>0</v>
      </c>
      <c r="O107" s="13">
        <v>0</v>
      </c>
      <c r="P107" s="13">
        <v>0</v>
      </c>
      <c r="Q107" s="13">
        <v>0</v>
      </c>
      <c r="R107" s="14">
        <v>0</v>
      </c>
      <c r="S107" s="13">
        <v>0</v>
      </c>
      <c r="T107" s="13">
        <v>0</v>
      </c>
      <c r="U107" s="14">
        <v>0</v>
      </c>
      <c r="V107" s="14">
        <v>0</v>
      </c>
      <c r="W107" s="13">
        <v>0</v>
      </c>
    </row>
    <row r="108" spans="1:23" ht="19.5" customHeight="1">
      <c r="A108" s="12" t="s">
        <v>111</v>
      </c>
      <c r="B108" s="49" t="s">
        <v>428</v>
      </c>
      <c r="C108" s="14">
        <f t="shared" si="1"/>
        <v>1500000</v>
      </c>
      <c r="D108" s="13">
        <v>0</v>
      </c>
      <c r="E108" s="13">
        <v>0</v>
      </c>
      <c r="F108" s="14">
        <v>0</v>
      </c>
      <c r="G108" s="13">
        <v>0</v>
      </c>
      <c r="H108" s="13">
        <v>0</v>
      </c>
      <c r="I108" s="13">
        <v>0</v>
      </c>
      <c r="J108" s="36">
        <v>0</v>
      </c>
      <c r="K108" s="13">
        <v>0</v>
      </c>
      <c r="L108" s="14">
        <v>700</v>
      </c>
      <c r="M108" s="14">
        <v>1500000</v>
      </c>
      <c r="N108" s="13">
        <v>0</v>
      </c>
      <c r="O108" s="13">
        <v>0</v>
      </c>
      <c r="P108" s="13">
        <v>0</v>
      </c>
      <c r="Q108" s="13">
        <v>0</v>
      </c>
      <c r="R108" s="14">
        <v>0</v>
      </c>
      <c r="S108" s="13">
        <v>0</v>
      </c>
      <c r="T108" s="13">
        <v>0</v>
      </c>
      <c r="U108" s="14">
        <v>0</v>
      </c>
      <c r="V108" s="14">
        <v>0</v>
      </c>
      <c r="W108" s="13">
        <v>0</v>
      </c>
    </row>
    <row r="109" spans="1:23" ht="19.5" customHeight="1">
      <c r="A109" s="12" t="s">
        <v>590</v>
      </c>
      <c r="B109" s="50" t="s">
        <v>305</v>
      </c>
      <c r="C109" s="14">
        <f t="shared" si="1"/>
        <v>250000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36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250000</v>
      </c>
    </row>
    <row r="110" spans="1:23" ht="19.5" customHeight="1">
      <c r="A110" s="12" t="s">
        <v>112</v>
      </c>
      <c r="B110" s="49" t="s">
        <v>429</v>
      </c>
      <c r="C110" s="14">
        <f t="shared" si="1"/>
        <v>845603.3</v>
      </c>
      <c r="D110" s="13">
        <v>0</v>
      </c>
      <c r="E110" s="13">
        <v>0</v>
      </c>
      <c r="F110" s="14">
        <v>0</v>
      </c>
      <c r="G110" s="13">
        <v>0</v>
      </c>
      <c r="H110" s="13">
        <v>0</v>
      </c>
      <c r="I110" s="13">
        <v>0</v>
      </c>
      <c r="J110" s="36">
        <v>0</v>
      </c>
      <c r="K110" s="13">
        <v>0</v>
      </c>
      <c r="L110" s="13">
        <v>543.5</v>
      </c>
      <c r="M110" s="13">
        <v>845603.3</v>
      </c>
      <c r="N110" s="13">
        <v>0</v>
      </c>
      <c r="O110" s="13">
        <v>0</v>
      </c>
      <c r="P110" s="13">
        <v>0</v>
      </c>
      <c r="Q110" s="13">
        <v>0</v>
      </c>
      <c r="R110" s="14">
        <v>0</v>
      </c>
      <c r="S110" s="13">
        <v>0</v>
      </c>
      <c r="T110" s="13">
        <v>0</v>
      </c>
      <c r="U110" s="14">
        <v>0</v>
      </c>
      <c r="V110" s="14">
        <v>0</v>
      </c>
      <c r="W110" s="13">
        <v>0</v>
      </c>
    </row>
    <row r="111" spans="1:23" ht="19.5" customHeight="1">
      <c r="A111" s="12" t="s">
        <v>113</v>
      </c>
      <c r="B111" s="49" t="s">
        <v>430</v>
      </c>
      <c r="C111" s="14">
        <f t="shared" si="1"/>
        <v>1071937.96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3">
        <v>0</v>
      </c>
      <c r="J111" s="36">
        <v>0</v>
      </c>
      <c r="K111" s="13">
        <v>0</v>
      </c>
      <c r="L111" s="13">
        <v>590</v>
      </c>
      <c r="M111" s="13">
        <v>1071937.96</v>
      </c>
      <c r="N111" s="13">
        <v>0</v>
      </c>
      <c r="O111" s="13">
        <v>0</v>
      </c>
      <c r="P111" s="13">
        <v>0</v>
      </c>
      <c r="Q111" s="13">
        <v>0</v>
      </c>
      <c r="R111" s="14">
        <v>0</v>
      </c>
      <c r="S111" s="13">
        <v>0</v>
      </c>
      <c r="T111" s="13">
        <v>0</v>
      </c>
      <c r="U111" s="14">
        <v>0</v>
      </c>
      <c r="V111" s="14">
        <v>0</v>
      </c>
      <c r="W111" s="13">
        <v>0</v>
      </c>
    </row>
    <row r="112" spans="1:23" ht="19.5" customHeight="1">
      <c r="A112" s="12" t="s">
        <v>114</v>
      </c>
      <c r="B112" s="49" t="s">
        <v>431</v>
      </c>
      <c r="C112" s="14">
        <f t="shared" si="1"/>
        <v>881076.5</v>
      </c>
      <c r="D112" s="13">
        <v>0</v>
      </c>
      <c r="E112" s="13">
        <v>0</v>
      </c>
      <c r="F112" s="14">
        <v>0</v>
      </c>
      <c r="G112" s="13">
        <v>0</v>
      </c>
      <c r="H112" s="13">
        <v>0</v>
      </c>
      <c r="I112" s="13">
        <v>0</v>
      </c>
      <c r="J112" s="36">
        <v>0</v>
      </c>
      <c r="K112" s="13">
        <v>0</v>
      </c>
      <c r="L112" s="13">
        <v>566.3</v>
      </c>
      <c r="M112" s="13">
        <v>881076.5</v>
      </c>
      <c r="N112" s="13">
        <v>0</v>
      </c>
      <c r="O112" s="13">
        <v>0</v>
      </c>
      <c r="P112" s="13">
        <v>0</v>
      </c>
      <c r="Q112" s="13">
        <v>0</v>
      </c>
      <c r="R112" s="14">
        <v>0</v>
      </c>
      <c r="S112" s="13">
        <v>0</v>
      </c>
      <c r="T112" s="13">
        <v>0</v>
      </c>
      <c r="U112" s="14">
        <v>0</v>
      </c>
      <c r="V112" s="14">
        <v>0</v>
      </c>
      <c r="W112" s="13">
        <v>0</v>
      </c>
    </row>
    <row r="113" spans="1:23" ht="19.5" customHeight="1">
      <c r="A113" s="12" t="s">
        <v>115</v>
      </c>
      <c r="B113" s="49" t="s">
        <v>432</v>
      </c>
      <c r="C113" s="14">
        <f t="shared" si="1"/>
        <v>1552657</v>
      </c>
      <c r="D113" s="13">
        <v>0</v>
      </c>
      <c r="E113" s="13">
        <v>0</v>
      </c>
      <c r="F113" s="14">
        <v>0</v>
      </c>
      <c r="G113" s="14">
        <v>385024</v>
      </c>
      <c r="H113" s="14">
        <v>340339</v>
      </c>
      <c r="I113" s="13">
        <v>0</v>
      </c>
      <c r="J113" s="36">
        <v>0</v>
      </c>
      <c r="K113" s="13">
        <v>0</v>
      </c>
      <c r="L113" s="14">
        <v>960</v>
      </c>
      <c r="M113" s="14">
        <v>827294</v>
      </c>
      <c r="N113" s="13">
        <v>0</v>
      </c>
      <c r="O113" s="13">
        <v>0</v>
      </c>
      <c r="P113" s="13">
        <v>0</v>
      </c>
      <c r="Q113" s="13">
        <v>0</v>
      </c>
      <c r="R113" s="14">
        <v>0</v>
      </c>
      <c r="S113" s="13">
        <v>0</v>
      </c>
      <c r="T113" s="13">
        <v>0</v>
      </c>
      <c r="U113" s="14">
        <v>0</v>
      </c>
      <c r="V113" s="14">
        <v>0</v>
      </c>
      <c r="W113" s="13">
        <v>0</v>
      </c>
    </row>
    <row r="114" spans="1:23" ht="19.5" customHeight="1">
      <c r="A114" s="12" t="s">
        <v>116</v>
      </c>
      <c r="B114" s="51" t="s">
        <v>433</v>
      </c>
      <c r="C114" s="14">
        <f t="shared" si="1"/>
        <v>594116</v>
      </c>
      <c r="D114" s="13">
        <v>0</v>
      </c>
      <c r="E114" s="13">
        <v>0</v>
      </c>
      <c r="F114" s="14">
        <v>0</v>
      </c>
      <c r="G114" s="13">
        <v>0</v>
      </c>
      <c r="H114" s="13">
        <v>0</v>
      </c>
      <c r="I114" s="13">
        <v>0</v>
      </c>
      <c r="J114" s="36">
        <v>0</v>
      </c>
      <c r="K114" s="13">
        <v>0</v>
      </c>
      <c r="L114" s="14">
        <v>600</v>
      </c>
      <c r="M114" s="14">
        <v>594116</v>
      </c>
      <c r="N114" s="13">
        <v>0</v>
      </c>
      <c r="O114" s="13">
        <v>0</v>
      </c>
      <c r="P114" s="13">
        <v>0</v>
      </c>
      <c r="Q114" s="13">
        <v>0</v>
      </c>
      <c r="R114" s="14">
        <v>0</v>
      </c>
      <c r="S114" s="13">
        <v>0</v>
      </c>
      <c r="T114" s="13">
        <v>0</v>
      </c>
      <c r="U114" s="14">
        <v>0</v>
      </c>
      <c r="V114" s="14">
        <v>0</v>
      </c>
      <c r="W114" s="13">
        <v>0</v>
      </c>
    </row>
    <row r="115" spans="1:23" ht="19.5" customHeight="1">
      <c r="A115" s="12" t="s">
        <v>117</v>
      </c>
      <c r="B115" s="51" t="s">
        <v>434</v>
      </c>
      <c r="C115" s="14">
        <f t="shared" si="1"/>
        <v>1145433.08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3">
        <v>0</v>
      </c>
      <c r="J115" s="36">
        <v>0</v>
      </c>
      <c r="K115" s="13">
        <v>0</v>
      </c>
      <c r="L115" s="13">
        <v>957.3</v>
      </c>
      <c r="M115" s="13">
        <v>1145433.08</v>
      </c>
      <c r="N115" s="13">
        <v>0</v>
      </c>
      <c r="O115" s="13">
        <v>0</v>
      </c>
      <c r="P115" s="13">
        <v>0</v>
      </c>
      <c r="Q115" s="13">
        <v>0</v>
      </c>
      <c r="R115" s="14">
        <v>0</v>
      </c>
      <c r="S115" s="13">
        <v>0</v>
      </c>
      <c r="T115" s="13">
        <v>0</v>
      </c>
      <c r="U115" s="14">
        <v>0</v>
      </c>
      <c r="V115" s="14">
        <v>0</v>
      </c>
      <c r="W115" s="13">
        <v>0</v>
      </c>
    </row>
    <row r="116" spans="1:23" ht="19.5" customHeight="1">
      <c r="A116" s="12" t="s">
        <v>118</v>
      </c>
      <c r="B116" s="51" t="s">
        <v>435</v>
      </c>
      <c r="C116" s="14">
        <f t="shared" si="1"/>
        <v>366413</v>
      </c>
      <c r="D116" s="13">
        <v>0</v>
      </c>
      <c r="E116" s="13">
        <v>0</v>
      </c>
      <c r="F116" s="14">
        <v>0</v>
      </c>
      <c r="G116" s="14">
        <v>118218</v>
      </c>
      <c r="H116" s="14">
        <v>148195</v>
      </c>
      <c r="I116" s="13">
        <v>0</v>
      </c>
      <c r="J116" s="36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4">
        <v>0</v>
      </c>
      <c r="S116" s="13">
        <v>0</v>
      </c>
      <c r="T116" s="13">
        <v>0</v>
      </c>
      <c r="U116" s="14">
        <v>0</v>
      </c>
      <c r="V116" s="14">
        <v>0</v>
      </c>
      <c r="W116" s="13">
        <v>100000</v>
      </c>
    </row>
    <row r="117" spans="1:23" ht="19.5" customHeight="1">
      <c r="A117" s="12" t="s">
        <v>119</v>
      </c>
      <c r="B117" s="51" t="s">
        <v>436</v>
      </c>
      <c r="C117" s="14">
        <f t="shared" si="1"/>
        <v>2700000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3">
        <v>0</v>
      </c>
      <c r="J117" s="36">
        <v>0</v>
      </c>
      <c r="K117" s="13">
        <v>0</v>
      </c>
      <c r="L117" s="14">
        <v>1400</v>
      </c>
      <c r="M117" s="14">
        <v>2700000</v>
      </c>
      <c r="N117" s="13">
        <v>0</v>
      </c>
      <c r="O117" s="13">
        <v>0</v>
      </c>
      <c r="P117" s="13">
        <v>0</v>
      </c>
      <c r="Q117" s="13">
        <v>0</v>
      </c>
      <c r="R117" s="14">
        <v>0</v>
      </c>
      <c r="S117" s="13">
        <v>0</v>
      </c>
      <c r="T117" s="13">
        <v>0</v>
      </c>
      <c r="U117" s="14">
        <v>0</v>
      </c>
      <c r="V117" s="14">
        <v>0</v>
      </c>
      <c r="W117" s="13">
        <v>0</v>
      </c>
    </row>
    <row r="118" spans="1:23" ht="19.5" customHeight="1">
      <c r="A118" s="12" t="s">
        <v>120</v>
      </c>
      <c r="B118" s="49" t="s">
        <v>437</v>
      </c>
      <c r="C118" s="14">
        <f t="shared" si="1"/>
        <v>652473</v>
      </c>
      <c r="D118" s="13">
        <v>0</v>
      </c>
      <c r="E118" s="13">
        <v>0</v>
      </c>
      <c r="F118" s="14">
        <v>0</v>
      </c>
      <c r="G118" s="13">
        <v>0</v>
      </c>
      <c r="H118" s="13">
        <v>0</v>
      </c>
      <c r="I118" s="13">
        <v>0</v>
      </c>
      <c r="J118" s="36">
        <v>0</v>
      </c>
      <c r="K118" s="13">
        <v>0</v>
      </c>
      <c r="L118" s="13">
        <v>485</v>
      </c>
      <c r="M118" s="13">
        <v>402473</v>
      </c>
      <c r="N118" s="13">
        <v>0</v>
      </c>
      <c r="O118" s="13">
        <v>0</v>
      </c>
      <c r="P118" s="13">
        <v>0</v>
      </c>
      <c r="Q118" s="13">
        <v>0</v>
      </c>
      <c r="R118" s="14">
        <v>0</v>
      </c>
      <c r="S118" s="13">
        <v>0</v>
      </c>
      <c r="T118" s="13">
        <v>0</v>
      </c>
      <c r="U118" s="14">
        <v>0</v>
      </c>
      <c r="V118" s="14">
        <v>0</v>
      </c>
      <c r="W118" s="13">
        <v>250000</v>
      </c>
    </row>
    <row r="119" spans="1:23" ht="19.5" customHeight="1">
      <c r="A119" s="12" t="s">
        <v>121</v>
      </c>
      <c r="B119" s="49" t="s">
        <v>438</v>
      </c>
      <c r="C119" s="14">
        <f t="shared" si="1"/>
        <v>1817401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36">
        <v>0</v>
      </c>
      <c r="K119" s="13">
        <v>0</v>
      </c>
      <c r="L119" s="13">
        <v>590</v>
      </c>
      <c r="M119" s="13">
        <v>1817401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</row>
    <row r="120" spans="1:23" ht="19.5" customHeight="1">
      <c r="A120" s="12" t="s">
        <v>122</v>
      </c>
      <c r="B120" s="49" t="s">
        <v>439</v>
      </c>
      <c r="C120" s="14">
        <f t="shared" si="1"/>
        <v>1568350</v>
      </c>
      <c r="D120" s="13">
        <v>0</v>
      </c>
      <c r="E120" s="13">
        <v>0</v>
      </c>
      <c r="F120" s="14">
        <v>0</v>
      </c>
      <c r="G120" s="13">
        <v>0</v>
      </c>
      <c r="H120" s="13">
        <v>0</v>
      </c>
      <c r="I120" s="13">
        <v>0</v>
      </c>
      <c r="J120" s="36">
        <v>1</v>
      </c>
      <c r="K120" s="13">
        <v>1568350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4">
        <v>0</v>
      </c>
      <c r="S120" s="13">
        <v>0</v>
      </c>
      <c r="T120" s="13">
        <v>0</v>
      </c>
      <c r="U120" s="14">
        <v>0</v>
      </c>
      <c r="V120" s="14">
        <v>0</v>
      </c>
      <c r="W120" s="13">
        <v>0</v>
      </c>
    </row>
    <row r="121" spans="1:23" ht="19.5" customHeight="1">
      <c r="A121" s="12" t="s">
        <v>123</v>
      </c>
      <c r="B121" s="49" t="s">
        <v>440</v>
      </c>
      <c r="C121" s="14">
        <f t="shared" si="1"/>
        <v>3089508.17</v>
      </c>
      <c r="D121" s="13">
        <v>0</v>
      </c>
      <c r="E121" s="13">
        <v>0</v>
      </c>
      <c r="F121" s="14">
        <v>0</v>
      </c>
      <c r="G121" s="13">
        <v>0</v>
      </c>
      <c r="H121" s="13">
        <v>0</v>
      </c>
      <c r="I121" s="13">
        <v>0</v>
      </c>
      <c r="J121" s="36">
        <v>2</v>
      </c>
      <c r="K121" s="13">
        <v>3000000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4">
        <v>0</v>
      </c>
      <c r="S121" s="13">
        <v>0</v>
      </c>
      <c r="T121" s="13">
        <v>0</v>
      </c>
      <c r="U121" s="14">
        <v>0</v>
      </c>
      <c r="V121" s="14">
        <v>0</v>
      </c>
      <c r="W121" s="13">
        <v>89508.17</v>
      </c>
    </row>
    <row r="122" spans="1:23" ht="19.5" customHeight="1">
      <c r="A122" s="12" t="s">
        <v>124</v>
      </c>
      <c r="B122" s="49" t="s">
        <v>441</v>
      </c>
      <c r="C122" s="14">
        <f t="shared" si="1"/>
        <v>1022133.7</v>
      </c>
      <c r="D122" s="13">
        <v>0</v>
      </c>
      <c r="E122" s="13">
        <v>0</v>
      </c>
      <c r="F122" s="14">
        <v>0</v>
      </c>
      <c r="G122" s="13">
        <v>0</v>
      </c>
      <c r="H122" s="14">
        <v>26892.2</v>
      </c>
      <c r="I122" s="13">
        <v>0</v>
      </c>
      <c r="J122" s="36">
        <v>0</v>
      </c>
      <c r="K122" s="13">
        <v>0</v>
      </c>
      <c r="L122" s="14">
        <v>684.7</v>
      </c>
      <c r="M122" s="14">
        <v>995241.5</v>
      </c>
      <c r="N122" s="13">
        <v>0</v>
      </c>
      <c r="O122" s="13">
        <v>0</v>
      </c>
      <c r="P122" s="13">
        <v>0</v>
      </c>
      <c r="Q122" s="13">
        <v>0</v>
      </c>
      <c r="R122" s="14">
        <v>0</v>
      </c>
      <c r="S122" s="13">
        <v>0</v>
      </c>
      <c r="T122" s="13">
        <v>0</v>
      </c>
      <c r="U122" s="14">
        <v>0</v>
      </c>
      <c r="V122" s="14">
        <v>0</v>
      </c>
      <c r="W122" s="13">
        <v>0</v>
      </c>
    </row>
    <row r="123" spans="1:23" ht="19.5" customHeight="1">
      <c r="A123" s="12" t="s">
        <v>125</v>
      </c>
      <c r="B123" s="49" t="s">
        <v>442</v>
      </c>
      <c r="C123" s="14">
        <f t="shared" si="1"/>
        <v>631139</v>
      </c>
      <c r="D123" s="13">
        <v>0</v>
      </c>
      <c r="E123" s="13">
        <v>0</v>
      </c>
      <c r="F123" s="14">
        <v>0</v>
      </c>
      <c r="G123" s="13">
        <v>0</v>
      </c>
      <c r="H123" s="13">
        <v>381139</v>
      </c>
      <c r="I123" s="13">
        <v>0</v>
      </c>
      <c r="J123" s="36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4">
        <v>0</v>
      </c>
      <c r="S123" s="13">
        <v>0</v>
      </c>
      <c r="T123" s="13">
        <v>0</v>
      </c>
      <c r="U123" s="14">
        <v>0</v>
      </c>
      <c r="V123" s="14">
        <v>0</v>
      </c>
      <c r="W123" s="13">
        <v>250000</v>
      </c>
    </row>
    <row r="124" spans="1:23" ht="19.5" customHeight="1">
      <c r="A124" s="12" t="s">
        <v>126</v>
      </c>
      <c r="B124" s="51" t="s">
        <v>443</v>
      </c>
      <c r="C124" s="14">
        <f t="shared" si="1"/>
        <v>655232</v>
      </c>
      <c r="D124" s="13">
        <v>0</v>
      </c>
      <c r="E124" s="13">
        <v>0</v>
      </c>
      <c r="F124" s="14">
        <v>0</v>
      </c>
      <c r="G124" s="13">
        <v>0</v>
      </c>
      <c r="H124" s="13">
        <v>0</v>
      </c>
      <c r="I124" s="13">
        <v>0</v>
      </c>
      <c r="J124" s="36">
        <v>0</v>
      </c>
      <c r="K124" s="13">
        <v>0</v>
      </c>
      <c r="L124" s="14">
        <v>732</v>
      </c>
      <c r="M124" s="14">
        <v>655232</v>
      </c>
      <c r="N124" s="13">
        <v>0</v>
      </c>
      <c r="O124" s="13">
        <v>0</v>
      </c>
      <c r="P124" s="13">
        <v>0</v>
      </c>
      <c r="Q124" s="13">
        <v>0</v>
      </c>
      <c r="R124" s="14">
        <v>0</v>
      </c>
      <c r="S124" s="13">
        <v>0</v>
      </c>
      <c r="T124" s="13">
        <v>0</v>
      </c>
      <c r="U124" s="14">
        <v>0</v>
      </c>
      <c r="V124" s="14">
        <v>0</v>
      </c>
      <c r="W124" s="13">
        <v>0</v>
      </c>
    </row>
    <row r="125" spans="1:23" ht="19.5" customHeight="1">
      <c r="A125" s="12" t="s">
        <v>127</v>
      </c>
      <c r="B125" s="51" t="s">
        <v>444</v>
      </c>
      <c r="C125" s="14">
        <f t="shared" si="1"/>
        <v>129340</v>
      </c>
      <c r="D125" s="13">
        <v>0</v>
      </c>
      <c r="E125" s="13">
        <v>0</v>
      </c>
      <c r="F125" s="14">
        <v>0</v>
      </c>
      <c r="G125" s="14">
        <v>129340</v>
      </c>
      <c r="H125" s="13">
        <v>0</v>
      </c>
      <c r="I125" s="13">
        <v>0</v>
      </c>
      <c r="J125" s="36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4">
        <v>0</v>
      </c>
      <c r="S125" s="13">
        <v>0</v>
      </c>
      <c r="T125" s="13">
        <v>0</v>
      </c>
      <c r="U125" s="14">
        <v>0</v>
      </c>
      <c r="V125" s="14">
        <v>0</v>
      </c>
      <c r="W125" s="13">
        <v>0</v>
      </c>
    </row>
    <row r="126" spans="1:23" ht="19.5" customHeight="1">
      <c r="A126" s="12" t="s">
        <v>128</v>
      </c>
      <c r="B126" s="49" t="s">
        <v>445</v>
      </c>
      <c r="C126" s="14">
        <f t="shared" si="1"/>
        <v>2943545</v>
      </c>
      <c r="D126" s="13">
        <v>0</v>
      </c>
      <c r="E126" s="13">
        <v>0</v>
      </c>
      <c r="F126" s="14">
        <v>0</v>
      </c>
      <c r="G126" s="13">
        <v>0</v>
      </c>
      <c r="H126" s="13">
        <v>0</v>
      </c>
      <c r="I126" s="13">
        <v>0</v>
      </c>
      <c r="J126" s="36">
        <v>0</v>
      </c>
      <c r="K126" s="13">
        <v>0</v>
      </c>
      <c r="L126" s="13">
        <v>627</v>
      </c>
      <c r="M126" s="13">
        <v>2943545</v>
      </c>
      <c r="N126" s="13">
        <v>0</v>
      </c>
      <c r="O126" s="13">
        <v>0</v>
      </c>
      <c r="P126" s="13">
        <v>0</v>
      </c>
      <c r="Q126" s="13">
        <v>0</v>
      </c>
      <c r="R126" s="14">
        <v>0</v>
      </c>
      <c r="S126" s="13">
        <v>0</v>
      </c>
      <c r="T126" s="13">
        <v>0</v>
      </c>
      <c r="U126" s="14">
        <v>0</v>
      </c>
      <c r="V126" s="14">
        <v>0</v>
      </c>
      <c r="W126" s="13">
        <v>0</v>
      </c>
    </row>
    <row r="127" spans="1:23" ht="19.5" customHeight="1">
      <c r="A127" s="12" t="s">
        <v>129</v>
      </c>
      <c r="B127" s="49" t="s">
        <v>446</v>
      </c>
      <c r="C127" s="14">
        <f t="shared" si="1"/>
        <v>188298</v>
      </c>
      <c r="D127" s="13">
        <v>0</v>
      </c>
      <c r="E127" s="13">
        <v>0</v>
      </c>
      <c r="F127" s="14">
        <v>0</v>
      </c>
      <c r="G127" s="14">
        <v>102192</v>
      </c>
      <c r="H127" s="14">
        <v>86106</v>
      </c>
      <c r="I127" s="13">
        <v>0</v>
      </c>
      <c r="J127" s="36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4">
        <v>0</v>
      </c>
      <c r="S127" s="13">
        <v>0</v>
      </c>
      <c r="T127" s="13">
        <v>0</v>
      </c>
      <c r="U127" s="14">
        <v>0</v>
      </c>
      <c r="V127" s="14">
        <v>0</v>
      </c>
      <c r="W127" s="13">
        <v>0</v>
      </c>
    </row>
    <row r="128" spans="1:23" ht="19.5" customHeight="1">
      <c r="A128" s="12" t="s">
        <v>130</v>
      </c>
      <c r="B128" s="49" t="s">
        <v>447</v>
      </c>
      <c r="C128" s="14">
        <f t="shared" si="1"/>
        <v>1425690</v>
      </c>
      <c r="D128" s="13">
        <v>0</v>
      </c>
      <c r="E128" s="13">
        <v>0</v>
      </c>
      <c r="F128" s="14">
        <v>0</v>
      </c>
      <c r="G128" s="13">
        <v>0</v>
      </c>
      <c r="H128" s="13">
        <v>0</v>
      </c>
      <c r="I128" s="13">
        <v>0</v>
      </c>
      <c r="J128" s="36">
        <v>0</v>
      </c>
      <c r="K128" s="13">
        <v>0</v>
      </c>
      <c r="L128" s="13">
        <v>1074.83</v>
      </c>
      <c r="M128" s="13">
        <v>1425690</v>
      </c>
      <c r="N128" s="13">
        <v>0</v>
      </c>
      <c r="O128" s="13">
        <v>0</v>
      </c>
      <c r="P128" s="13">
        <v>0</v>
      </c>
      <c r="Q128" s="13">
        <v>0</v>
      </c>
      <c r="R128" s="14">
        <v>0</v>
      </c>
      <c r="S128" s="13">
        <v>0</v>
      </c>
      <c r="T128" s="13">
        <v>0</v>
      </c>
      <c r="U128" s="14">
        <v>0</v>
      </c>
      <c r="V128" s="14">
        <v>0</v>
      </c>
      <c r="W128" s="13">
        <v>0</v>
      </c>
    </row>
    <row r="129" spans="1:23" ht="19.5" customHeight="1">
      <c r="A129" s="12" t="s">
        <v>131</v>
      </c>
      <c r="B129" s="49" t="s">
        <v>448</v>
      </c>
      <c r="C129" s="14">
        <f t="shared" si="1"/>
        <v>1523674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3">
        <v>0</v>
      </c>
      <c r="J129" s="36">
        <v>0</v>
      </c>
      <c r="K129" s="13">
        <v>0</v>
      </c>
      <c r="L129" s="14">
        <v>1483</v>
      </c>
      <c r="M129" s="14">
        <v>1523674</v>
      </c>
      <c r="N129" s="13">
        <v>0</v>
      </c>
      <c r="O129" s="13">
        <v>0</v>
      </c>
      <c r="P129" s="13">
        <v>0</v>
      </c>
      <c r="Q129" s="13">
        <v>0</v>
      </c>
      <c r="R129" s="14">
        <v>0</v>
      </c>
      <c r="S129" s="13">
        <v>0</v>
      </c>
      <c r="T129" s="13">
        <v>0</v>
      </c>
      <c r="U129" s="14">
        <v>0</v>
      </c>
      <c r="V129" s="14">
        <v>0</v>
      </c>
      <c r="W129" s="13">
        <v>0</v>
      </c>
    </row>
    <row r="130" spans="1:23" ht="19.5" customHeight="1">
      <c r="A130" s="12" t="s">
        <v>132</v>
      </c>
      <c r="B130" s="49" t="s">
        <v>449</v>
      </c>
      <c r="C130" s="14">
        <f t="shared" si="1"/>
        <v>295737.26</v>
      </c>
      <c r="D130" s="13">
        <v>0</v>
      </c>
      <c r="E130" s="13">
        <v>0</v>
      </c>
      <c r="F130" s="14">
        <v>0</v>
      </c>
      <c r="G130" s="13">
        <v>0</v>
      </c>
      <c r="H130" s="13">
        <v>0</v>
      </c>
      <c r="I130" s="13">
        <v>295737.26</v>
      </c>
      <c r="J130" s="36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4">
        <v>0</v>
      </c>
      <c r="S130" s="13">
        <v>0</v>
      </c>
      <c r="T130" s="13">
        <v>0</v>
      </c>
      <c r="U130" s="14">
        <v>0</v>
      </c>
      <c r="V130" s="14">
        <v>0</v>
      </c>
      <c r="W130" s="13">
        <v>0</v>
      </c>
    </row>
    <row r="131" spans="1:23" ht="19.5" customHeight="1">
      <c r="A131" s="12" t="s">
        <v>133</v>
      </c>
      <c r="B131" s="49" t="s">
        <v>450</v>
      </c>
      <c r="C131" s="14">
        <f t="shared" si="1"/>
        <v>2335270</v>
      </c>
      <c r="D131" s="13">
        <v>0</v>
      </c>
      <c r="E131" s="13">
        <v>0</v>
      </c>
      <c r="F131" s="14">
        <v>0</v>
      </c>
      <c r="G131" s="13">
        <v>0</v>
      </c>
      <c r="H131" s="13">
        <v>0</v>
      </c>
      <c r="I131" s="13">
        <v>0</v>
      </c>
      <c r="J131" s="36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1250</v>
      </c>
      <c r="Q131" s="13">
        <v>2335270</v>
      </c>
      <c r="R131" s="14">
        <v>0</v>
      </c>
      <c r="S131" s="13">
        <v>0</v>
      </c>
      <c r="T131" s="13">
        <v>0</v>
      </c>
      <c r="U131" s="14">
        <v>0</v>
      </c>
      <c r="V131" s="14">
        <v>0</v>
      </c>
      <c r="W131" s="13">
        <v>0</v>
      </c>
    </row>
    <row r="132" spans="1:23" ht="19.5" customHeight="1">
      <c r="A132" s="12" t="s">
        <v>134</v>
      </c>
      <c r="B132" s="53" t="s">
        <v>451</v>
      </c>
      <c r="C132" s="14">
        <f t="shared" si="1"/>
        <v>886037.22</v>
      </c>
      <c r="D132" s="13">
        <v>0</v>
      </c>
      <c r="E132" s="13">
        <v>0</v>
      </c>
      <c r="F132" s="14">
        <v>0</v>
      </c>
      <c r="G132" s="13">
        <v>0</v>
      </c>
      <c r="H132" s="13">
        <v>0</v>
      </c>
      <c r="I132" s="13">
        <v>0</v>
      </c>
      <c r="J132" s="36">
        <v>0</v>
      </c>
      <c r="K132" s="13">
        <v>0</v>
      </c>
      <c r="L132" s="14">
        <v>513.5</v>
      </c>
      <c r="M132" s="14">
        <v>886037.22</v>
      </c>
      <c r="N132" s="13">
        <v>0</v>
      </c>
      <c r="O132" s="13">
        <v>0</v>
      </c>
      <c r="P132" s="13">
        <v>0</v>
      </c>
      <c r="Q132" s="13">
        <v>0</v>
      </c>
      <c r="R132" s="14">
        <v>0</v>
      </c>
      <c r="S132" s="13">
        <v>0</v>
      </c>
      <c r="T132" s="13">
        <v>0</v>
      </c>
      <c r="U132" s="14">
        <v>0</v>
      </c>
      <c r="V132" s="14">
        <v>0</v>
      </c>
      <c r="W132" s="13">
        <v>0</v>
      </c>
    </row>
    <row r="133" spans="1:23" ht="19.5" customHeight="1">
      <c r="A133" s="12" t="s">
        <v>135</v>
      </c>
      <c r="B133" s="49" t="s">
        <v>452</v>
      </c>
      <c r="C133" s="14">
        <f aca="true" t="shared" si="2" ref="C133:C190">D133+E133+F133+G133+H133+I133+K133+M133+O133+Q133+R133+T133+U133+V133+W133</f>
        <v>875800</v>
      </c>
      <c r="D133" s="13">
        <v>0</v>
      </c>
      <c r="E133" s="13">
        <v>0</v>
      </c>
      <c r="F133" s="14">
        <v>0</v>
      </c>
      <c r="G133" s="13">
        <v>93000</v>
      </c>
      <c r="H133" s="13">
        <v>88800</v>
      </c>
      <c r="I133" s="13">
        <v>0</v>
      </c>
      <c r="J133" s="36">
        <v>0</v>
      </c>
      <c r="K133" s="13">
        <v>0</v>
      </c>
      <c r="L133" s="14">
        <v>240</v>
      </c>
      <c r="M133" s="14">
        <v>444000</v>
      </c>
      <c r="N133" s="13">
        <v>0</v>
      </c>
      <c r="O133" s="13">
        <v>0</v>
      </c>
      <c r="P133" s="13">
        <v>0</v>
      </c>
      <c r="Q133" s="13">
        <v>0</v>
      </c>
      <c r="R133" s="14">
        <v>0</v>
      </c>
      <c r="S133" s="13">
        <v>0</v>
      </c>
      <c r="T133" s="13">
        <v>0</v>
      </c>
      <c r="U133" s="14">
        <v>0</v>
      </c>
      <c r="V133" s="14">
        <v>0</v>
      </c>
      <c r="W133" s="13">
        <v>250000</v>
      </c>
    </row>
    <row r="134" spans="1:23" ht="19.5" customHeight="1">
      <c r="A134" s="12" t="s">
        <v>136</v>
      </c>
      <c r="B134" s="50" t="s">
        <v>306</v>
      </c>
      <c r="C134" s="14">
        <f t="shared" si="2"/>
        <v>250000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36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250000</v>
      </c>
    </row>
    <row r="135" spans="1:23" ht="19.5" customHeight="1">
      <c r="A135" s="12" t="s">
        <v>137</v>
      </c>
      <c r="B135" s="49" t="s">
        <v>453</v>
      </c>
      <c r="C135" s="14">
        <f t="shared" si="2"/>
        <v>981561</v>
      </c>
      <c r="D135" s="13">
        <v>0</v>
      </c>
      <c r="E135" s="13">
        <v>0</v>
      </c>
      <c r="F135" s="14">
        <v>0</v>
      </c>
      <c r="G135" s="13">
        <v>0</v>
      </c>
      <c r="H135" s="13">
        <v>0</v>
      </c>
      <c r="I135" s="13">
        <v>0</v>
      </c>
      <c r="J135" s="36">
        <v>0</v>
      </c>
      <c r="K135" s="13">
        <v>0</v>
      </c>
      <c r="L135" s="13">
        <v>620</v>
      </c>
      <c r="M135" s="13">
        <v>731561</v>
      </c>
      <c r="N135" s="13">
        <v>0</v>
      </c>
      <c r="O135" s="13">
        <v>0</v>
      </c>
      <c r="P135" s="13">
        <v>0</v>
      </c>
      <c r="Q135" s="13">
        <v>0</v>
      </c>
      <c r="R135" s="14">
        <v>0</v>
      </c>
      <c r="S135" s="13">
        <v>0</v>
      </c>
      <c r="T135" s="13">
        <v>0</v>
      </c>
      <c r="U135" s="14">
        <v>0</v>
      </c>
      <c r="V135" s="14">
        <v>0</v>
      </c>
      <c r="W135" s="13">
        <v>250000</v>
      </c>
    </row>
    <row r="136" spans="1:23" ht="19.5" customHeight="1">
      <c r="A136" s="12" t="s">
        <v>138</v>
      </c>
      <c r="B136" s="49" t="s">
        <v>454</v>
      </c>
      <c r="C136" s="14">
        <f t="shared" si="2"/>
        <v>740924.4</v>
      </c>
      <c r="D136" s="13">
        <v>0</v>
      </c>
      <c r="E136" s="13">
        <v>0</v>
      </c>
      <c r="F136" s="14">
        <v>0</v>
      </c>
      <c r="G136" s="13">
        <v>0</v>
      </c>
      <c r="H136" s="13">
        <v>0</v>
      </c>
      <c r="I136" s="13">
        <v>0</v>
      </c>
      <c r="J136" s="36">
        <v>0</v>
      </c>
      <c r="K136" s="13">
        <v>0</v>
      </c>
      <c r="L136" s="13">
        <v>460</v>
      </c>
      <c r="M136" s="13">
        <v>740924.4</v>
      </c>
      <c r="N136" s="13">
        <v>0</v>
      </c>
      <c r="O136" s="13">
        <v>0</v>
      </c>
      <c r="P136" s="13">
        <v>0</v>
      </c>
      <c r="Q136" s="13">
        <v>0</v>
      </c>
      <c r="R136" s="14">
        <v>0</v>
      </c>
      <c r="S136" s="13">
        <v>0</v>
      </c>
      <c r="T136" s="13">
        <v>0</v>
      </c>
      <c r="U136" s="14">
        <v>0</v>
      </c>
      <c r="V136" s="14">
        <v>0</v>
      </c>
      <c r="W136" s="13">
        <v>0</v>
      </c>
    </row>
    <row r="137" spans="1:23" ht="19.5" customHeight="1">
      <c r="A137" s="12" t="s">
        <v>139</v>
      </c>
      <c r="B137" s="49" t="s">
        <v>455</v>
      </c>
      <c r="C137" s="14">
        <f t="shared" si="2"/>
        <v>789191</v>
      </c>
      <c r="D137" s="13">
        <v>0</v>
      </c>
      <c r="E137" s="13">
        <v>0</v>
      </c>
      <c r="F137" s="14">
        <v>0</v>
      </c>
      <c r="G137" s="14">
        <v>406983</v>
      </c>
      <c r="H137" s="14">
        <v>382208</v>
      </c>
      <c r="I137" s="13">
        <v>0</v>
      </c>
      <c r="J137" s="36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0</v>
      </c>
      <c r="S137" s="13">
        <v>0</v>
      </c>
      <c r="T137" s="13">
        <v>0</v>
      </c>
      <c r="U137" s="14">
        <v>0</v>
      </c>
      <c r="V137" s="14">
        <v>0</v>
      </c>
      <c r="W137" s="13">
        <v>0</v>
      </c>
    </row>
    <row r="138" spans="1:23" ht="19.5" customHeight="1">
      <c r="A138" s="12" t="s">
        <v>140</v>
      </c>
      <c r="B138" s="49" t="s">
        <v>456</v>
      </c>
      <c r="C138" s="14">
        <f t="shared" si="2"/>
        <v>284471</v>
      </c>
      <c r="D138" s="13">
        <v>0</v>
      </c>
      <c r="E138" s="13">
        <v>0</v>
      </c>
      <c r="F138" s="14">
        <v>0</v>
      </c>
      <c r="G138" s="13">
        <v>0</v>
      </c>
      <c r="H138" s="13">
        <v>284471</v>
      </c>
      <c r="I138" s="13">
        <v>0</v>
      </c>
      <c r="J138" s="36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4">
        <v>0</v>
      </c>
      <c r="S138" s="13">
        <v>0</v>
      </c>
      <c r="T138" s="13">
        <v>0</v>
      </c>
      <c r="U138" s="14">
        <v>0</v>
      </c>
      <c r="V138" s="14">
        <v>0</v>
      </c>
      <c r="W138" s="13">
        <v>0</v>
      </c>
    </row>
    <row r="139" spans="1:23" ht="19.5" customHeight="1">
      <c r="A139" s="12" t="s">
        <v>141</v>
      </c>
      <c r="B139" s="51" t="s">
        <v>457</v>
      </c>
      <c r="C139" s="14">
        <f t="shared" si="2"/>
        <v>1158569</v>
      </c>
      <c r="D139" s="13">
        <v>0</v>
      </c>
      <c r="E139" s="13">
        <v>0</v>
      </c>
      <c r="F139" s="14">
        <v>0</v>
      </c>
      <c r="G139" s="13">
        <v>0</v>
      </c>
      <c r="H139" s="13">
        <v>0</v>
      </c>
      <c r="I139" s="13">
        <v>0</v>
      </c>
      <c r="J139" s="36">
        <v>0</v>
      </c>
      <c r="K139" s="13">
        <v>0</v>
      </c>
      <c r="L139" s="13">
        <v>1160</v>
      </c>
      <c r="M139" s="13">
        <v>1158569</v>
      </c>
      <c r="N139" s="13">
        <v>0</v>
      </c>
      <c r="O139" s="13">
        <v>0</v>
      </c>
      <c r="P139" s="13">
        <v>0</v>
      </c>
      <c r="Q139" s="13">
        <v>0</v>
      </c>
      <c r="R139" s="14">
        <v>0</v>
      </c>
      <c r="S139" s="13">
        <v>0</v>
      </c>
      <c r="T139" s="13">
        <v>0</v>
      </c>
      <c r="U139" s="14">
        <v>0</v>
      </c>
      <c r="V139" s="14">
        <v>0</v>
      </c>
      <c r="W139" s="13">
        <v>0</v>
      </c>
    </row>
    <row r="140" spans="1:23" ht="19.5" customHeight="1">
      <c r="A140" s="12" t="s">
        <v>610</v>
      </c>
      <c r="B140" s="49" t="s">
        <v>458</v>
      </c>
      <c r="C140" s="14">
        <f t="shared" si="2"/>
        <v>1682315.96</v>
      </c>
      <c r="D140" s="13">
        <v>0</v>
      </c>
      <c r="E140" s="13">
        <v>0</v>
      </c>
      <c r="F140" s="14">
        <v>0</v>
      </c>
      <c r="G140" s="13">
        <v>0</v>
      </c>
      <c r="H140" s="13">
        <v>0</v>
      </c>
      <c r="I140" s="13">
        <v>0</v>
      </c>
      <c r="J140" s="36">
        <v>1</v>
      </c>
      <c r="K140" s="13">
        <v>1568350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4">
        <v>0</v>
      </c>
      <c r="S140" s="13">
        <v>0</v>
      </c>
      <c r="T140" s="13">
        <v>0</v>
      </c>
      <c r="U140" s="14">
        <v>0</v>
      </c>
      <c r="V140" s="14">
        <v>0</v>
      </c>
      <c r="W140" s="13">
        <v>113965.96</v>
      </c>
    </row>
    <row r="141" spans="1:23" ht="19.5" customHeight="1">
      <c r="A141" s="12" t="s">
        <v>142</v>
      </c>
      <c r="B141" s="49" t="s">
        <v>459</v>
      </c>
      <c r="C141" s="14">
        <f t="shared" si="2"/>
        <v>381270</v>
      </c>
      <c r="D141" s="13">
        <v>0</v>
      </c>
      <c r="E141" s="13">
        <v>0</v>
      </c>
      <c r="F141" s="14">
        <v>0</v>
      </c>
      <c r="G141" s="13">
        <v>0</v>
      </c>
      <c r="H141" s="13">
        <v>0</v>
      </c>
      <c r="I141" s="13">
        <v>0</v>
      </c>
      <c r="J141" s="36">
        <v>0</v>
      </c>
      <c r="K141" s="13">
        <v>0</v>
      </c>
      <c r="L141" s="13">
        <v>289</v>
      </c>
      <c r="M141" s="13">
        <v>381270</v>
      </c>
      <c r="N141" s="13">
        <v>0</v>
      </c>
      <c r="O141" s="13">
        <v>0</v>
      </c>
      <c r="P141" s="13">
        <v>0</v>
      </c>
      <c r="Q141" s="13">
        <v>0</v>
      </c>
      <c r="R141" s="14">
        <v>0</v>
      </c>
      <c r="S141" s="13">
        <v>0</v>
      </c>
      <c r="T141" s="13">
        <v>0</v>
      </c>
      <c r="U141" s="14">
        <v>0</v>
      </c>
      <c r="V141" s="14">
        <v>0</v>
      </c>
      <c r="W141" s="13">
        <v>0</v>
      </c>
    </row>
    <row r="142" spans="1:23" ht="19.5" customHeight="1">
      <c r="A142" s="12" t="s">
        <v>143</v>
      </c>
      <c r="B142" s="50" t="s">
        <v>307</v>
      </c>
      <c r="C142" s="14">
        <f t="shared" si="2"/>
        <v>250000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36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250000</v>
      </c>
    </row>
    <row r="143" spans="1:23" ht="19.5" customHeight="1">
      <c r="A143" s="12" t="s">
        <v>144</v>
      </c>
      <c r="B143" s="50" t="s">
        <v>308</v>
      </c>
      <c r="C143" s="14">
        <f t="shared" si="2"/>
        <v>250000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36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250000</v>
      </c>
    </row>
    <row r="144" spans="1:23" ht="19.5" customHeight="1">
      <c r="A144" s="12" t="s">
        <v>145</v>
      </c>
      <c r="B144" s="50" t="s">
        <v>309</v>
      </c>
      <c r="C144" s="14">
        <f t="shared" si="2"/>
        <v>250000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36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250000</v>
      </c>
    </row>
    <row r="145" spans="1:23" ht="19.5" customHeight="1">
      <c r="A145" s="12" t="s">
        <v>146</v>
      </c>
      <c r="B145" s="49" t="s">
        <v>460</v>
      </c>
      <c r="C145" s="14">
        <f t="shared" si="2"/>
        <v>392234.36</v>
      </c>
      <c r="D145" s="13">
        <v>0</v>
      </c>
      <c r="E145" s="13">
        <v>0</v>
      </c>
      <c r="F145" s="14">
        <v>0</v>
      </c>
      <c r="G145" s="13">
        <v>0</v>
      </c>
      <c r="H145" s="13">
        <v>0</v>
      </c>
      <c r="I145" s="13">
        <v>0</v>
      </c>
      <c r="J145" s="36">
        <v>0</v>
      </c>
      <c r="K145" s="13">
        <v>0</v>
      </c>
      <c r="L145" s="13">
        <v>207.5</v>
      </c>
      <c r="M145" s="13">
        <v>392234.36</v>
      </c>
      <c r="N145" s="13">
        <v>0</v>
      </c>
      <c r="O145" s="13">
        <v>0</v>
      </c>
      <c r="P145" s="13">
        <v>0</v>
      </c>
      <c r="Q145" s="13">
        <v>0</v>
      </c>
      <c r="R145" s="14">
        <v>0</v>
      </c>
      <c r="S145" s="13">
        <v>0</v>
      </c>
      <c r="T145" s="13">
        <v>0</v>
      </c>
      <c r="U145" s="14">
        <v>0</v>
      </c>
      <c r="V145" s="14">
        <v>0</v>
      </c>
      <c r="W145" s="13">
        <v>0</v>
      </c>
    </row>
    <row r="146" spans="1:23" ht="19.5" customHeight="1">
      <c r="A146" s="12" t="s">
        <v>591</v>
      </c>
      <c r="B146" s="50" t="s">
        <v>310</v>
      </c>
      <c r="C146" s="14">
        <f t="shared" si="2"/>
        <v>250000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36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250000</v>
      </c>
    </row>
    <row r="147" spans="1:23" ht="19.5" customHeight="1">
      <c r="A147" s="12" t="s">
        <v>147</v>
      </c>
      <c r="B147" s="49" t="s">
        <v>461</v>
      </c>
      <c r="C147" s="14">
        <f t="shared" si="2"/>
        <v>350000</v>
      </c>
      <c r="D147" s="13">
        <v>0</v>
      </c>
      <c r="E147" s="13">
        <v>0</v>
      </c>
      <c r="F147" s="14">
        <v>0</v>
      </c>
      <c r="G147" s="13">
        <v>0</v>
      </c>
      <c r="H147" s="13">
        <v>0</v>
      </c>
      <c r="I147" s="13">
        <v>0</v>
      </c>
      <c r="J147" s="36">
        <v>0</v>
      </c>
      <c r="K147" s="13">
        <v>0</v>
      </c>
      <c r="L147" s="13">
        <v>200</v>
      </c>
      <c r="M147" s="13">
        <v>350000</v>
      </c>
      <c r="N147" s="13">
        <v>0</v>
      </c>
      <c r="O147" s="13">
        <v>0</v>
      </c>
      <c r="P147" s="13">
        <v>0</v>
      </c>
      <c r="Q147" s="13">
        <v>0</v>
      </c>
      <c r="R147" s="14">
        <v>0</v>
      </c>
      <c r="S147" s="13">
        <v>0</v>
      </c>
      <c r="T147" s="13">
        <v>0</v>
      </c>
      <c r="U147" s="14">
        <v>0</v>
      </c>
      <c r="V147" s="14">
        <v>0</v>
      </c>
      <c r="W147" s="13">
        <v>0</v>
      </c>
    </row>
    <row r="148" spans="1:23" ht="19.5" customHeight="1">
      <c r="A148" s="12" t="s">
        <v>331</v>
      </c>
      <c r="B148" s="50" t="s">
        <v>311</v>
      </c>
      <c r="C148" s="14">
        <f t="shared" si="2"/>
        <v>250000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36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250000</v>
      </c>
    </row>
    <row r="149" spans="1:23" ht="19.5" customHeight="1">
      <c r="A149" s="12" t="s">
        <v>148</v>
      </c>
      <c r="B149" s="49" t="s">
        <v>462</v>
      </c>
      <c r="C149" s="14">
        <f t="shared" si="2"/>
        <v>1314035</v>
      </c>
      <c r="D149" s="13">
        <v>0</v>
      </c>
      <c r="E149" s="13">
        <v>0</v>
      </c>
      <c r="F149" s="14">
        <v>0</v>
      </c>
      <c r="G149" s="13">
        <v>0</v>
      </c>
      <c r="H149" s="13">
        <v>0</v>
      </c>
      <c r="I149" s="13">
        <v>0</v>
      </c>
      <c r="J149" s="36">
        <v>0</v>
      </c>
      <c r="K149" s="13">
        <v>0</v>
      </c>
      <c r="L149" s="13">
        <v>868</v>
      </c>
      <c r="M149" s="13">
        <v>1314035</v>
      </c>
      <c r="N149" s="13">
        <v>0</v>
      </c>
      <c r="O149" s="13">
        <v>0</v>
      </c>
      <c r="P149" s="13">
        <v>0</v>
      </c>
      <c r="Q149" s="13">
        <v>0</v>
      </c>
      <c r="R149" s="14">
        <v>0</v>
      </c>
      <c r="S149" s="13">
        <v>0</v>
      </c>
      <c r="T149" s="13">
        <v>0</v>
      </c>
      <c r="U149" s="14">
        <v>0</v>
      </c>
      <c r="V149" s="14">
        <v>0</v>
      </c>
      <c r="W149" s="13">
        <v>0</v>
      </c>
    </row>
    <row r="150" spans="1:23" ht="19.5" customHeight="1">
      <c r="A150" s="12" t="s">
        <v>611</v>
      </c>
      <c r="B150" s="50" t="s">
        <v>312</v>
      </c>
      <c r="C150" s="14">
        <f t="shared" si="2"/>
        <v>250000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36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250000</v>
      </c>
    </row>
    <row r="151" spans="1:23" ht="19.5" customHeight="1">
      <c r="A151" s="12" t="s">
        <v>149</v>
      </c>
      <c r="B151" s="49" t="s">
        <v>463</v>
      </c>
      <c r="C151" s="14">
        <f t="shared" si="2"/>
        <v>47277.88</v>
      </c>
      <c r="D151" s="13">
        <v>0</v>
      </c>
      <c r="E151" s="13">
        <v>0</v>
      </c>
      <c r="F151" s="14">
        <v>0</v>
      </c>
      <c r="G151" s="13">
        <v>0</v>
      </c>
      <c r="H151" s="13">
        <v>47277.88</v>
      </c>
      <c r="I151" s="13">
        <v>0</v>
      </c>
      <c r="J151" s="36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4">
        <v>0</v>
      </c>
      <c r="S151" s="13">
        <v>0</v>
      </c>
      <c r="T151" s="13">
        <v>0</v>
      </c>
      <c r="U151" s="14">
        <v>0</v>
      </c>
      <c r="V151" s="14">
        <v>0</v>
      </c>
      <c r="W151" s="13">
        <v>0</v>
      </c>
    </row>
    <row r="152" spans="1:23" ht="19.5" customHeight="1">
      <c r="A152" s="12" t="s">
        <v>150</v>
      </c>
      <c r="B152" s="50" t="s">
        <v>313</v>
      </c>
      <c r="C152" s="14">
        <f t="shared" si="2"/>
        <v>250000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36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250000</v>
      </c>
    </row>
    <row r="153" spans="1:23" ht="19.5" customHeight="1">
      <c r="A153" s="12" t="s">
        <v>151</v>
      </c>
      <c r="B153" s="50" t="s">
        <v>314</v>
      </c>
      <c r="C153" s="14">
        <f t="shared" si="2"/>
        <v>250000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36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250000</v>
      </c>
    </row>
    <row r="154" spans="1:23" ht="19.5" customHeight="1">
      <c r="A154" s="12" t="s">
        <v>152</v>
      </c>
      <c r="B154" s="50" t="s">
        <v>315</v>
      </c>
      <c r="C154" s="14">
        <f t="shared" si="2"/>
        <v>250000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36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250000</v>
      </c>
    </row>
    <row r="155" spans="1:23" ht="19.5" customHeight="1">
      <c r="A155" s="12" t="s">
        <v>152</v>
      </c>
      <c r="B155" s="49" t="s">
        <v>464</v>
      </c>
      <c r="C155" s="14">
        <f t="shared" si="2"/>
        <v>2376250</v>
      </c>
      <c r="D155" s="13">
        <v>0</v>
      </c>
      <c r="E155" s="13">
        <v>0</v>
      </c>
      <c r="F155" s="14">
        <v>0</v>
      </c>
      <c r="G155" s="13">
        <v>0</v>
      </c>
      <c r="H155" s="13">
        <v>0</v>
      </c>
      <c r="I155" s="13">
        <v>0</v>
      </c>
      <c r="J155" s="36">
        <v>0</v>
      </c>
      <c r="K155" s="13">
        <v>0</v>
      </c>
      <c r="L155" s="14">
        <v>1850</v>
      </c>
      <c r="M155" s="14">
        <v>1452250</v>
      </c>
      <c r="N155" s="13">
        <v>0</v>
      </c>
      <c r="O155" s="13">
        <v>0</v>
      </c>
      <c r="P155" s="13">
        <v>1000</v>
      </c>
      <c r="Q155" s="13">
        <v>674000</v>
      </c>
      <c r="R155" s="14">
        <v>0</v>
      </c>
      <c r="S155" s="13">
        <v>0</v>
      </c>
      <c r="T155" s="13">
        <v>0</v>
      </c>
      <c r="U155" s="14">
        <v>0</v>
      </c>
      <c r="V155" s="14">
        <v>0</v>
      </c>
      <c r="W155" s="13">
        <v>250000</v>
      </c>
    </row>
    <row r="156" spans="1:23" ht="19.5" customHeight="1">
      <c r="A156" s="12" t="s">
        <v>153</v>
      </c>
      <c r="B156" s="49" t="s">
        <v>465</v>
      </c>
      <c r="C156" s="14">
        <f t="shared" si="2"/>
        <v>1242050</v>
      </c>
      <c r="D156" s="13">
        <v>0</v>
      </c>
      <c r="E156" s="13">
        <v>0</v>
      </c>
      <c r="F156" s="14">
        <v>0</v>
      </c>
      <c r="G156" s="13">
        <v>0</v>
      </c>
      <c r="H156" s="13">
        <v>0</v>
      </c>
      <c r="I156" s="13">
        <v>0</v>
      </c>
      <c r="J156" s="36">
        <v>0</v>
      </c>
      <c r="K156" s="13">
        <v>0</v>
      </c>
      <c r="L156" s="14">
        <v>1850</v>
      </c>
      <c r="M156" s="14">
        <v>653050</v>
      </c>
      <c r="N156" s="13">
        <v>0</v>
      </c>
      <c r="O156" s="13">
        <v>0</v>
      </c>
      <c r="P156" s="13">
        <v>1000</v>
      </c>
      <c r="Q156" s="13">
        <v>339000</v>
      </c>
      <c r="R156" s="14">
        <v>0</v>
      </c>
      <c r="S156" s="13">
        <v>0</v>
      </c>
      <c r="T156" s="13">
        <v>0</v>
      </c>
      <c r="U156" s="14">
        <v>0</v>
      </c>
      <c r="V156" s="14">
        <v>0</v>
      </c>
      <c r="W156" s="13">
        <v>250000</v>
      </c>
    </row>
    <row r="157" spans="1:23" ht="19.5" customHeight="1">
      <c r="A157" s="12" t="s">
        <v>154</v>
      </c>
      <c r="B157" s="49" t="s">
        <v>466</v>
      </c>
      <c r="C157" s="14">
        <f t="shared" si="2"/>
        <v>2568858</v>
      </c>
      <c r="D157" s="13">
        <v>0</v>
      </c>
      <c r="E157" s="13">
        <v>0</v>
      </c>
      <c r="F157" s="14">
        <v>0</v>
      </c>
      <c r="G157" s="13">
        <v>0</v>
      </c>
      <c r="H157" s="13">
        <v>0</v>
      </c>
      <c r="I157" s="13">
        <v>0</v>
      </c>
      <c r="J157" s="36">
        <v>0</v>
      </c>
      <c r="K157" s="13">
        <v>0</v>
      </c>
      <c r="L157" s="13">
        <v>426.89</v>
      </c>
      <c r="M157" s="13">
        <v>1308858</v>
      </c>
      <c r="N157" s="13">
        <v>0</v>
      </c>
      <c r="O157" s="13">
        <v>0</v>
      </c>
      <c r="P157" s="13">
        <v>1000</v>
      </c>
      <c r="Q157" s="13">
        <v>1010000</v>
      </c>
      <c r="R157" s="14">
        <v>0</v>
      </c>
      <c r="S157" s="13">
        <v>0</v>
      </c>
      <c r="T157" s="13">
        <v>0</v>
      </c>
      <c r="U157" s="14">
        <v>0</v>
      </c>
      <c r="V157" s="14">
        <v>0</v>
      </c>
      <c r="W157" s="13">
        <v>250000</v>
      </c>
    </row>
    <row r="158" spans="1:23" ht="19.5" customHeight="1">
      <c r="A158" s="12" t="s">
        <v>155</v>
      </c>
      <c r="B158" s="49" t="s">
        <v>467</v>
      </c>
      <c r="C158" s="14">
        <f t="shared" si="2"/>
        <v>1731170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36">
        <v>0</v>
      </c>
      <c r="K158" s="13">
        <v>0</v>
      </c>
      <c r="L158" s="13">
        <v>490</v>
      </c>
      <c r="M158" s="13">
        <v>1481170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250000</v>
      </c>
    </row>
    <row r="159" spans="1:23" ht="19.5" customHeight="1">
      <c r="A159" s="12" t="s">
        <v>156</v>
      </c>
      <c r="B159" s="51" t="s">
        <v>468</v>
      </c>
      <c r="C159" s="14">
        <f t="shared" si="2"/>
        <v>1054761.42</v>
      </c>
      <c r="D159" s="13">
        <v>0</v>
      </c>
      <c r="E159" s="13">
        <v>0</v>
      </c>
      <c r="F159" s="14">
        <v>0</v>
      </c>
      <c r="G159" s="13">
        <v>0</v>
      </c>
      <c r="H159" s="13">
        <v>0</v>
      </c>
      <c r="I159" s="13">
        <v>0</v>
      </c>
      <c r="J159" s="36">
        <v>0</v>
      </c>
      <c r="K159" s="13">
        <v>0</v>
      </c>
      <c r="L159" s="14">
        <v>924</v>
      </c>
      <c r="M159" s="14">
        <v>1054761.42</v>
      </c>
      <c r="N159" s="13">
        <v>0</v>
      </c>
      <c r="O159" s="13">
        <v>0</v>
      </c>
      <c r="P159" s="13">
        <v>0</v>
      </c>
      <c r="Q159" s="13">
        <v>0</v>
      </c>
      <c r="R159" s="14">
        <v>0</v>
      </c>
      <c r="S159" s="13">
        <v>0</v>
      </c>
      <c r="T159" s="13">
        <v>0</v>
      </c>
      <c r="U159" s="14">
        <v>0</v>
      </c>
      <c r="V159" s="14">
        <v>0</v>
      </c>
      <c r="W159" s="13">
        <v>0</v>
      </c>
    </row>
    <row r="160" spans="1:23" ht="19.5" customHeight="1">
      <c r="A160" s="12" t="s">
        <v>157</v>
      </c>
      <c r="B160" s="51" t="s">
        <v>469</v>
      </c>
      <c r="C160" s="14">
        <f t="shared" si="2"/>
        <v>354922.63</v>
      </c>
      <c r="D160" s="13">
        <v>0</v>
      </c>
      <c r="E160" s="13">
        <v>0</v>
      </c>
      <c r="F160" s="14">
        <v>0</v>
      </c>
      <c r="G160" s="14">
        <v>180503.08</v>
      </c>
      <c r="H160" s="14">
        <v>174419.55</v>
      </c>
      <c r="I160" s="13">
        <v>0</v>
      </c>
      <c r="J160" s="36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4">
        <v>0</v>
      </c>
      <c r="S160" s="13">
        <v>0</v>
      </c>
      <c r="T160" s="13">
        <v>0</v>
      </c>
      <c r="U160" s="14">
        <v>0</v>
      </c>
      <c r="V160" s="14">
        <v>0</v>
      </c>
      <c r="W160" s="13">
        <v>0</v>
      </c>
    </row>
    <row r="161" spans="1:23" ht="19.5" customHeight="1">
      <c r="A161" s="12" t="s">
        <v>158</v>
      </c>
      <c r="B161" s="49" t="s">
        <v>470</v>
      </c>
      <c r="C161" s="14">
        <f t="shared" si="2"/>
        <v>412928</v>
      </c>
      <c r="D161" s="13">
        <v>0</v>
      </c>
      <c r="E161" s="13">
        <v>0</v>
      </c>
      <c r="F161" s="14">
        <v>0</v>
      </c>
      <c r="G161" s="13">
        <v>0</v>
      </c>
      <c r="H161" s="13">
        <v>0</v>
      </c>
      <c r="I161" s="13">
        <v>0</v>
      </c>
      <c r="J161" s="36">
        <v>0</v>
      </c>
      <c r="K161" s="13">
        <v>0</v>
      </c>
      <c r="L161" s="13">
        <v>363</v>
      </c>
      <c r="M161" s="13">
        <v>412928</v>
      </c>
      <c r="N161" s="13">
        <v>0</v>
      </c>
      <c r="O161" s="13">
        <v>0</v>
      </c>
      <c r="P161" s="13">
        <v>0</v>
      </c>
      <c r="Q161" s="13">
        <v>0</v>
      </c>
      <c r="R161" s="14">
        <v>0</v>
      </c>
      <c r="S161" s="13">
        <v>0</v>
      </c>
      <c r="T161" s="13">
        <v>0</v>
      </c>
      <c r="U161" s="14">
        <v>0</v>
      </c>
      <c r="V161" s="14">
        <v>0</v>
      </c>
      <c r="W161" s="13">
        <v>0</v>
      </c>
    </row>
    <row r="162" spans="1:23" ht="19.5" customHeight="1">
      <c r="A162" s="12" t="s">
        <v>159</v>
      </c>
      <c r="B162" s="49" t="s">
        <v>471</v>
      </c>
      <c r="C162" s="14">
        <f t="shared" si="2"/>
        <v>963628</v>
      </c>
      <c r="D162" s="13">
        <v>0</v>
      </c>
      <c r="E162" s="13">
        <v>0</v>
      </c>
      <c r="F162" s="14">
        <v>0</v>
      </c>
      <c r="G162" s="13">
        <v>0</v>
      </c>
      <c r="H162" s="13">
        <v>0</v>
      </c>
      <c r="I162" s="13">
        <v>0</v>
      </c>
      <c r="J162" s="36">
        <v>0</v>
      </c>
      <c r="K162" s="13">
        <v>0</v>
      </c>
      <c r="L162" s="13">
        <v>852.1</v>
      </c>
      <c r="M162" s="13">
        <v>963628</v>
      </c>
      <c r="N162" s="13">
        <v>0</v>
      </c>
      <c r="O162" s="13">
        <v>0</v>
      </c>
      <c r="P162" s="13">
        <v>0</v>
      </c>
      <c r="Q162" s="13">
        <v>0</v>
      </c>
      <c r="R162" s="14">
        <v>0</v>
      </c>
      <c r="S162" s="13">
        <v>0</v>
      </c>
      <c r="T162" s="13">
        <v>0</v>
      </c>
      <c r="U162" s="14">
        <v>0</v>
      </c>
      <c r="V162" s="14">
        <v>0</v>
      </c>
      <c r="W162" s="13">
        <v>0</v>
      </c>
    </row>
    <row r="163" spans="1:23" ht="19.5" customHeight="1">
      <c r="A163" s="12" t="s">
        <v>160</v>
      </c>
      <c r="B163" s="49" t="s">
        <v>472</v>
      </c>
      <c r="C163" s="14">
        <f t="shared" si="2"/>
        <v>813484</v>
      </c>
      <c r="D163" s="13">
        <v>0</v>
      </c>
      <c r="E163" s="13">
        <v>0</v>
      </c>
      <c r="F163" s="14">
        <v>0</v>
      </c>
      <c r="G163" s="13">
        <v>0</v>
      </c>
      <c r="H163" s="13">
        <v>0</v>
      </c>
      <c r="I163" s="13">
        <v>0</v>
      </c>
      <c r="J163" s="36">
        <v>0</v>
      </c>
      <c r="K163" s="13">
        <v>0</v>
      </c>
      <c r="L163" s="13">
        <v>950</v>
      </c>
      <c r="M163" s="13">
        <v>813484</v>
      </c>
      <c r="N163" s="13">
        <v>0</v>
      </c>
      <c r="O163" s="13">
        <v>0</v>
      </c>
      <c r="P163" s="13">
        <v>0</v>
      </c>
      <c r="Q163" s="13">
        <v>0</v>
      </c>
      <c r="R163" s="14">
        <v>0</v>
      </c>
      <c r="S163" s="13">
        <v>0</v>
      </c>
      <c r="T163" s="13">
        <v>0</v>
      </c>
      <c r="U163" s="14">
        <v>0</v>
      </c>
      <c r="V163" s="14">
        <v>0</v>
      </c>
      <c r="W163" s="13">
        <v>0</v>
      </c>
    </row>
    <row r="164" spans="1:23" ht="19.5" customHeight="1">
      <c r="A164" s="12" t="s">
        <v>161</v>
      </c>
      <c r="B164" s="50" t="s">
        <v>316</v>
      </c>
      <c r="C164" s="14">
        <f t="shared" si="2"/>
        <v>250000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36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250000</v>
      </c>
    </row>
    <row r="165" spans="1:23" ht="19.5" customHeight="1">
      <c r="A165" s="12" t="s">
        <v>332</v>
      </c>
      <c r="B165" s="49" t="s">
        <v>473</v>
      </c>
      <c r="C165" s="14">
        <f t="shared" si="2"/>
        <v>1922240</v>
      </c>
      <c r="D165" s="13">
        <v>0</v>
      </c>
      <c r="E165" s="13">
        <v>0</v>
      </c>
      <c r="F165" s="14">
        <v>0</v>
      </c>
      <c r="G165" s="13">
        <v>0</v>
      </c>
      <c r="H165" s="13">
        <v>450000</v>
      </c>
      <c r="I165" s="13">
        <v>0</v>
      </c>
      <c r="J165" s="36">
        <v>0</v>
      </c>
      <c r="K165" s="13">
        <v>0</v>
      </c>
      <c r="L165" s="14">
        <v>1400</v>
      </c>
      <c r="M165" s="14">
        <v>1472240</v>
      </c>
      <c r="N165" s="13">
        <v>0</v>
      </c>
      <c r="O165" s="13">
        <v>0</v>
      </c>
      <c r="P165" s="13">
        <v>0</v>
      </c>
      <c r="Q165" s="13">
        <v>0</v>
      </c>
      <c r="R165" s="14">
        <v>0</v>
      </c>
      <c r="S165" s="13">
        <v>0</v>
      </c>
      <c r="T165" s="13">
        <v>0</v>
      </c>
      <c r="U165" s="14">
        <v>0</v>
      </c>
      <c r="V165" s="14">
        <v>0</v>
      </c>
      <c r="W165" s="13">
        <v>0</v>
      </c>
    </row>
    <row r="166" spans="1:23" ht="19.5" customHeight="1">
      <c r="A166" s="12" t="s">
        <v>205</v>
      </c>
      <c r="B166" s="49" t="s">
        <v>474</v>
      </c>
      <c r="C166" s="14">
        <f t="shared" si="2"/>
        <v>959580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36">
        <v>0</v>
      </c>
      <c r="K166" s="13">
        <v>0</v>
      </c>
      <c r="L166" s="13">
        <v>632.7</v>
      </c>
      <c r="M166" s="13">
        <v>959580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</row>
    <row r="167" spans="1:23" ht="19.5" customHeight="1">
      <c r="A167" s="12" t="s">
        <v>206</v>
      </c>
      <c r="B167" s="49" t="s">
        <v>475</v>
      </c>
      <c r="C167" s="14">
        <f t="shared" si="2"/>
        <v>2026313.02</v>
      </c>
      <c r="D167" s="13">
        <v>0</v>
      </c>
      <c r="E167" s="13">
        <v>0</v>
      </c>
      <c r="F167" s="14">
        <v>0</v>
      </c>
      <c r="G167" s="13">
        <v>407904</v>
      </c>
      <c r="H167" s="13">
        <v>316292</v>
      </c>
      <c r="I167" s="13">
        <v>0</v>
      </c>
      <c r="J167" s="36">
        <v>0</v>
      </c>
      <c r="K167" s="13">
        <v>0</v>
      </c>
      <c r="L167" s="13">
        <v>760.5</v>
      </c>
      <c r="M167" s="13">
        <v>1302117.02</v>
      </c>
      <c r="N167" s="13">
        <v>0</v>
      </c>
      <c r="O167" s="13">
        <v>0</v>
      </c>
      <c r="P167" s="13">
        <v>0</v>
      </c>
      <c r="Q167" s="13">
        <v>0</v>
      </c>
      <c r="R167" s="14">
        <v>0</v>
      </c>
      <c r="S167" s="13">
        <v>0</v>
      </c>
      <c r="T167" s="13">
        <v>0</v>
      </c>
      <c r="U167" s="14">
        <v>0</v>
      </c>
      <c r="V167" s="14">
        <v>0</v>
      </c>
      <c r="W167" s="13">
        <v>0</v>
      </c>
    </row>
    <row r="168" spans="1:23" ht="19.5" customHeight="1">
      <c r="A168" s="12" t="s">
        <v>207</v>
      </c>
      <c r="B168" s="55" t="s">
        <v>317</v>
      </c>
      <c r="C168" s="14">
        <f t="shared" si="2"/>
        <v>250000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36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250000</v>
      </c>
    </row>
    <row r="169" spans="1:23" ht="19.5" customHeight="1">
      <c r="A169" s="12" t="s">
        <v>208</v>
      </c>
      <c r="B169" s="49" t="s">
        <v>476</v>
      </c>
      <c r="C169" s="14">
        <f t="shared" si="2"/>
        <v>1788148</v>
      </c>
      <c r="D169" s="13">
        <v>0</v>
      </c>
      <c r="E169" s="13">
        <v>0</v>
      </c>
      <c r="F169" s="14">
        <v>0</v>
      </c>
      <c r="G169" s="13">
        <v>0</v>
      </c>
      <c r="H169" s="13">
        <v>0</v>
      </c>
      <c r="I169" s="13">
        <v>0</v>
      </c>
      <c r="J169" s="36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4">
        <v>0</v>
      </c>
      <c r="S169" s="13">
        <v>0</v>
      </c>
      <c r="T169" s="13">
        <v>0</v>
      </c>
      <c r="U169" s="14">
        <v>0</v>
      </c>
      <c r="V169" s="14">
        <v>0</v>
      </c>
      <c r="W169" s="13">
        <f>1538148+250000</f>
        <v>1788148</v>
      </c>
    </row>
    <row r="170" spans="1:23" ht="19.5" customHeight="1">
      <c r="A170" s="12" t="s">
        <v>209</v>
      </c>
      <c r="B170" s="49" t="s">
        <v>477</v>
      </c>
      <c r="C170" s="14">
        <f t="shared" si="2"/>
        <v>675997</v>
      </c>
      <c r="D170" s="13">
        <v>0</v>
      </c>
      <c r="E170" s="13">
        <v>0</v>
      </c>
      <c r="F170" s="14">
        <v>0</v>
      </c>
      <c r="G170" s="14">
        <v>353187</v>
      </c>
      <c r="H170" s="14">
        <v>322810</v>
      </c>
      <c r="I170" s="13">
        <v>0</v>
      </c>
      <c r="J170" s="36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4">
        <v>0</v>
      </c>
      <c r="S170" s="13">
        <v>0</v>
      </c>
      <c r="T170" s="13">
        <v>0</v>
      </c>
      <c r="U170" s="14">
        <v>0</v>
      </c>
      <c r="V170" s="14">
        <v>0</v>
      </c>
      <c r="W170" s="13">
        <v>0</v>
      </c>
    </row>
    <row r="171" spans="1:23" ht="19.5" customHeight="1">
      <c r="A171" s="12" t="s">
        <v>612</v>
      </c>
      <c r="B171" s="51" t="s">
        <v>478</v>
      </c>
      <c r="C171" s="14">
        <f t="shared" si="2"/>
        <v>1005310</v>
      </c>
      <c r="D171" s="13">
        <v>0</v>
      </c>
      <c r="E171" s="13">
        <v>0</v>
      </c>
      <c r="F171" s="14">
        <v>0</v>
      </c>
      <c r="G171" s="13">
        <v>210864</v>
      </c>
      <c r="H171" s="13">
        <v>0</v>
      </c>
      <c r="I171" s="13">
        <v>0</v>
      </c>
      <c r="J171" s="36">
        <v>0</v>
      </c>
      <c r="K171" s="13">
        <v>0</v>
      </c>
      <c r="L171" s="13">
        <v>770</v>
      </c>
      <c r="M171" s="13">
        <v>794446</v>
      </c>
      <c r="N171" s="13">
        <v>0</v>
      </c>
      <c r="O171" s="13">
        <v>0</v>
      </c>
      <c r="P171" s="13">
        <v>0</v>
      </c>
      <c r="Q171" s="13">
        <v>0</v>
      </c>
      <c r="R171" s="14">
        <v>0</v>
      </c>
      <c r="S171" s="13">
        <v>0</v>
      </c>
      <c r="T171" s="13">
        <v>0</v>
      </c>
      <c r="U171" s="14">
        <v>0</v>
      </c>
      <c r="V171" s="14">
        <v>0</v>
      </c>
      <c r="W171" s="13">
        <v>0</v>
      </c>
    </row>
    <row r="172" spans="1:23" ht="19.5" customHeight="1">
      <c r="A172" s="12" t="s">
        <v>210</v>
      </c>
      <c r="B172" s="49" t="s">
        <v>479</v>
      </c>
      <c r="C172" s="14">
        <f t="shared" si="2"/>
        <v>4137509.87</v>
      </c>
      <c r="D172" s="13">
        <v>0</v>
      </c>
      <c r="E172" s="13">
        <v>0</v>
      </c>
      <c r="F172" s="14">
        <v>0</v>
      </c>
      <c r="G172" s="13">
        <v>0</v>
      </c>
      <c r="H172" s="13">
        <v>0</v>
      </c>
      <c r="I172" s="13">
        <v>0</v>
      </c>
      <c r="J172" s="36">
        <v>3</v>
      </c>
      <c r="K172" s="13">
        <v>4050000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4">
        <v>0</v>
      </c>
      <c r="S172" s="13">
        <v>0</v>
      </c>
      <c r="T172" s="13">
        <v>0</v>
      </c>
      <c r="U172" s="14">
        <v>0</v>
      </c>
      <c r="V172" s="14">
        <v>0</v>
      </c>
      <c r="W172" s="13">
        <v>87509.87</v>
      </c>
    </row>
    <row r="173" spans="1:23" ht="19.5" customHeight="1">
      <c r="A173" s="12" t="s">
        <v>211</v>
      </c>
      <c r="B173" s="49" t="s">
        <v>480</v>
      </c>
      <c r="C173" s="14">
        <f t="shared" si="2"/>
        <v>34385</v>
      </c>
      <c r="D173" s="13">
        <v>0</v>
      </c>
      <c r="E173" s="13">
        <v>0</v>
      </c>
      <c r="F173" s="14">
        <v>0</v>
      </c>
      <c r="G173" s="13">
        <v>0</v>
      </c>
      <c r="H173" s="13">
        <v>34385</v>
      </c>
      <c r="I173" s="13">
        <v>0</v>
      </c>
      <c r="J173" s="36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4">
        <v>0</v>
      </c>
      <c r="S173" s="13">
        <v>0</v>
      </c>
      <c r="T173" s="13">
        <v>0</v>
      </c>
      <c r="U173" s="14">
        <v>0</v>
      </c>
      <c r="V173" s="14">
        <v>0</v>
      </c>
      <c r="W173" s="13">
        <v>0</v>
      </c>
    </row>
    <row r="174" spans="1:23" ht="19.5" customHeight="1">
      <c r="A174" s="12" t="s">
        <v>212</v>
      </c>
      <c r="B174" s="49" t="s">
        <v>481</v>
      </c>
      <c r="C174" s="14">
        <f t="shared" si="2"/>
        <v>197052</v>
      </c>
      <c r="D174" s="13">
        <v>0</v>
      </c>
      <c r="E174" s="13">
        <v>0</v>
      </c>
      <c r="F174" s="14">
        <v>0</v>
      </c>
      <c r="G174" s="14">
        <v>162750</v>
      </c>
      <c r="H174" s="14">
        <v>34302</v>
      </c>
      <c r="I174" s="13">
        <v>0</v>
      </c>
      <c r="J174" s="36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4">
        <v>0</v>
      </c>
      <c r="S174" s="13">
        <v>0</v>
      </c>
      <c r="T174" s="13">
        <v>0</v>
      </c>
      <c r="U174" s="14">
        <v>0</v>
      </c>
      <c r="V174" s="14">
        <v>0</v>
      </c>
      <c r="W174" s="13">
        <v>0</v>
      </c>
    </row>
    <row r="175" spans="1:23" ht="19.5" customHeight="1">
      <c r="A175" s="12" t="s">
        <v>613</v>
      </c>
      <c r="B175" s="49" t="s">
        <v>482</v>
      </c>
      <c r="C175" s="14">
        <f t="shared" si="2"/>
        <v>1900000</v>
      </c>
      <c r="D175" s="13">
        <v>0</v>
      </c>
      <c r="E175" s="13">
        <v>0</v>
      </c>
      <c r="F175" s="14">
        <v>0</v>
      </c>
      <c r="G175" s="13">
        <v>950000</v>
      </c>
      <c r="H175" s="13">
        <v>950000</v>
      </c>
      <c r="I175" s="13">
        <v>0</v>
      </c>
      <c r="J175" s="36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4">
        <v>0</v>
      </c>
      <c r="S175" s="13">
        <v>0</v>
      </c>
      <c r="T175" s="13">
        <v>0</v>
      </c>
      <c r="U175" s="14">
        <v>0</v>
      </c>
      <c r="V175" s="14">
        <v>0</v>
      </c>
      <c r="W175" s="13">
        <v>0</v>
      </c>
    </row>
    <row r="176" spans="1:23" ht="19.5" customHeight="1">
      <c r="A176" s="12" t="s">
        <v>213</v>
      </c>
      <c r="B176" s="49" t="s">
        <v>483</v>
      </c>
      <c r="C176" s="14">
        <f t="shared" si="2"/>
        <v>1898820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36">
        <v>0</v>
      </c>
      <c r="K176" s="13">
        <v>0</v>
      </c>
      <c r="L176" s="13">
        <v>914.9</v>
      </c>
      <c r="M176" s="13">
        <v>1648820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250000</v>
      </c>
    </row>
    <row r="177" spans="1:23" ht="19.5" customHeight="1">
      <c r="A177" s="12" t="s">
        <v>214</v>
      </c>
      <c r="B177" s="50" t="s">
        <v>318</v>
      </c>
      <c r="C177" s="14">
        <f t="shared" si="2"/>
        <v>250000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36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250000</v>
      </c>
    </row>
    <row r="178" spans="1:23" ht="19.5" customHeight="1">
      <c r="A178" s="12" t="s">
        <v>215</v>
      </c>
      <c r="B178" s="53" t="s">
        <v>578</v>
      </c>
      <c r="C178" s="14">
        <f t="shared" si="2"/>
        <v>1381276.14</v>
      </c>
      <c r="D178" s="13">
        <v>0</v>
      </c>
      <c r="E178" s="13">
        <v>0</v>
      </c>
      <c r="F178" s="14">
        <v>0</v>
      </c>
      <c r="G178" s="13">
        <v>0</v>
      </c>
      <c r="H178" s="13">
        <v>0</v>
      </c>
      <c r="I178" s="13">
        <v>0</v>
      </c>
      <c r="J178" s="36">
        <v>0</v>
      </c>
      <c r="K178" s="13">
        <v>0</v>
      </c>
      <c r="L178" s="13">
        <v>783.9</v>
      </c>
      <c r="M178" s="13">
        <v>1381276.14</v>
      </c>
      <c r="N178" s="13">
        <v>0</v>
      </c>
      <c r="O178" s="13">
        <v>0</v>
      </c>
      <c r="P178" s="13">
        <v>0</v>
      </c>
      <c r="Q178" s="13">
        <v>0</v>
      </c>
      <c r="R178" s="14">
        <v>0</v>
      </c>
      <c r="S178" s="13">
        <v>0</v>
      </c>
      <c r="T178" s="13">
        <v>0</v>
      </c>
      <c r="U178" s="14">
        <v>0</v>
      </c>
      <c r="V178" s="14">
        <v>0</v>
      </c>
      <c r="W178" s="13">
        <v>0</v>
      </c>
    </row>
    <row r="179" spans="1:23" ht="19.5" customHeight="1">
      <c r="A179" s="12" t="s">
        <v>216</v>
      </c>
      <c r="B179" s="49" t="s">
        <v>484</v>
      </c>
      <c r="C179" s="14">
        <f t="shared" si="2"/>
        <v>700000</v>
      </c>
      <c r="D179" s="13">
        <v>0</v>
      </c>
      <c r="E179" s="13">
        <v>0</v>
      </c>
      <c r="F179" s="14">
        <v>0</v>
      </c>
      <c r="G179" s="13">
        <v>0</v>
      </c>
      <c r="H179" s="13">
        <v>0</v>
      </c>
      <c r="I179" s="13">
        <v>0</v>
      </c>
      <c r="J179" s="36">
        <v>0</v>
      </c>
      <c r="K179" s="13">
        <v>0</v>
      </c>
      <c r="L179" s="13">
        <v>350</v>
      </c>
      <c r="M179" s="13">
        <v>450000</v>
      </c>
      <c r="N179" s="13">
        <v>0</v>
      </c>
      <c r="O179" s="13">
        <v>0</v>
      </c>
      <c r="P179" s="13">
        <v>0</v>
      </c>
      <c r="Q179" s="13">
        <v>0</v>
      </c>
      <c r="R179" s="14">
        <v>0</v>
      </c>
      <c r="S179" s="13">
        <v>0</v>
      </c>
      <c r="T179" s="13">
        <v>0</v>
      </c>
      <c r="U179" s="14">
        <v>0</v>
      </c>
      <c r="V179" s="14">
        <v>0</v>
      </c>
      <c r="W179" s="13">
        <v>250000</v>
      </c>
    </row>
    <row r="180" spans="1:23" ht="19.5" customHeight="1">
      <c r="A180" s="12" t="s">
        <v>217</v>
      </c>
      <c r="B180" s="49" t="s">
        <v>485</v>
      </c>
      <c r="C180" s="14">
        <f t="shared" si="2"/>
        <v>355000</v>
      </c>
      <c r="D180" s="13">
        <v>0</v>
      </c>
      <c r="E180" s="13">
        <v>0</v>
      </c>
      <c r="F180" s="14">
        <v>0</v>
      </c>
      <c r="G180" s="14">
        <v>177500</v>
      </c>
      <c r="H180" s="14">
        <v>177500</v>
      </c>
      <c r="I180" s="13">
        <v>0</v>
      </c>
      <c r="J180" s="36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4">
        <v>0</v>
      </c>
      <c r="S180" s="13">
        <v>0</v>
      </c>
      <c r="T180" s="13">
        <v>0</v>
      </c>
      <c r="U180" s="14">
        <v>0</v>
      </c>
      <c r="V180" s="14">
        <v>0</v>
      </c>
      <c r="W180" s="13">
        <v>0</v>
      </c>
    </row>
    <row r="181" spans="1:23" ht="19.5" customHeight="1">
      <c r="A181" s="12" t="s">
        <v>218</v>
      </c>
      <c r="B181" s="50" t="s">
        <v>319</v>
      </c>
      <c r="C181" s="14">
        <f t="shared" si="2"/>
        <v>250000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36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250000</v>
      </c>
    </row>
    <row r="182" spans="1:23" ht="19.5" customHeight="1">
      <c r="A182" s="12" t="s">
        <v>219</v>
      </c>
      <c r="B182" s="49" t="s">
        <v>486</v>
      </c>
      <c r="C182" s="14">
        <f t="shared" si="2"/>
        <v>1300347</v>
      </c>
      <c r="D182" s="13">
        <v>0</v>
      </c>
      <c r="E182" s="13">
        <v>0</v>
      </c>
      <c r="F182" s="14">
        <v>0</v>
      </c>
      <c r="G182" s="14">
        <v>0</v>
      </c>
      <c r="H182" s="14">
        <v>0</v>
      </c>
      <c r="I182" s="13">
        <v>0</v>
      </c>
      <c r="J182" s="36">
        <v>0</v>
      </c>
      <c r="K182" s="13">
        <v>0</v>
      </c>
      <c r="L182" s="14">
        <v>1265</v>
      </c>
      <c r="M182" s="14">
        <v>1300347</v>
      </c>
      <c r="N182" s="13">
        <v>0</v>
      </c>
      <c r="O182" s="13">
        <v>0</v>
      </c>
      <c r="P182" s="13">
        <v>0</v>
      </c>
      <c r="Q182" s="13">
        <v>0</v>
      </c>
      <c r="R182" s="14">
        <v>0</v>
      </c>
      <c r="S182" s="13">
        <v>0</v>
      </c>
      <c r="T182" s="13">
        <v>0</v>
      </c>
      <c r="U182" s="14">
        <v>0</v>
      </c>
      <c r="V182" s="14">
        <v>0</v>
      </c>
      <c r="W182" s="13">
        <v>0</v>
      </c>
    </row>
    <row r="183" spans="1:23" ht="19.5" customHeight="1">
      <c r="A183" s="12" t="s">
        <v>592</v>
      </c>
      <c r="B183" s="49" t="s">
        <v>487</v>
      </c>
      <c r="C183" s="14">
        <f t="shared" si="2"/>
        <v>780464</v>
      </c>
      <c r="D183" s="13">
        <v>0</v>
      </c>
      <c r="E183" s="13">
        <v>0</v>
      </c>
      <c r="F183" s="14">
        <v>0</v>
      </c>
      <c r="G183" s="13">
        <v>0</v>
      </c>
      <c r="H183" s="13">
        <v>0</v>
      </c>
      <c r="I183" s="13">
        <v>0</v>
      </c>
      <c r="J183" s="36">
        <v>0</v>
      </c>
      <c r="K183" s="13">
        <v>0</v>
      </c>
      <c r="L183" s="13">
        <v>476.7</v>
      </c>
      <c r="M183" s="13">
        <v>530464</v>
      </c>
      <c r="N183" s="13">
        <v>0</v>
      </c>
      <c r="O183" s="13">
        <v>0</v>
      </c>
      <c r="P183" s="13">
        <v>0</v>
      </c>
      <c r="Q183" s="13">
        <v>0</v>
      </c>
      <c r="R183" s="14">
        <v>0</v>
      </c>
      <c r="S183" s="13">
        <v>0</v>
      </c>
      <c r="T183" s="13">
        <v>0</v>
      </c>
      <c r="U183" s="14">
        <v>0</v>
      </c>
      <c r="V183" s="14">
        <v>0</v>
      </c>
      <c r="W183" s="13">
        <v>250000</v>
      </c>
    </row>
    <row r="184" spans="1:23" ht="19.5" customHeight="1">
      <c r="A184" s="12" t="s">
        <v>220</v>
      </c>
      <c r="B184" s="50" t="s">
        <v>320</v>
      </c>
      <c r="C184" s="14">
        <f t="shared" si="2"/>
        <v>250000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36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250000</v>
      </c>
    </row>
    <row r="185" spans="1:23" ht="19.5" customHeight="1">
      <c r="A185" s="12" t="s">
        <v>221</v>
      </c>
      <c r="B185" s="49" t="s">
        <v>488</v>
      </c>
      <c r="C185" s="14">
        <f t="shared" si="2"/>
        <v>1843000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36">
        <v>0</v>
      </c>
      <c r="K185" s="13">
        <v>0</v>
      </c>
      <c r="L185" s="13">
        <v>885</v>
      </c>
      <c r="M185" s="13">
        <v>1593000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250000</v>
      </c>
    </row>
    <row r="186" spans="1:23" ht="19.5" customHeight="1">
      <c r="A186" s="12" t="s">
        <v>222</v>
      </c>
      <c r="B186" s="49" t="s">
        <v>489</v>
      </c>
      <c r="C186" s="14">
        <f t="shared" si="2"/>
        <v>1000000</v>
      </c>
      <c r="D186" s="13">
        <v>0</v>
      </c>
      <c r="E186" s="13">
        <v>0</v>
      </c>
      <c r="F186" s="14">
        <v>0</v>
      </c>
      <c r="G186" s="13">
        <v>0</v>
      </c>
      <c r="H186" s="13">
        <v>0</v>
      </c>
      <c r="I186" s="13">
        <v>0</v>
      </c>
      <c r="J186" s="36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1000</v>
      </c>
      <c r="Q186" s="13">
        <v>1000000</v>
      </c>
      <c r="R186" s="14">
        <v>0</v>
      </c>
      <c r="S186" s="13">
        <v>0</v>
      </c>
      <c r="T186" s="13">
        <v>0</v>
      </c>
      <c r="U186" s="14">
        <v>0</v>
      </c>
      <c r="V186" s="14">
        <v>0</v>
      </c>
      <c r="W186" s="13">
        <v>0</v>
      </c>
    </row>
    <row r="187" spans="1:23" ht="19.5" customHeight="1">
      <c r="A187" s="12" t="s">
        <v>223</v>
      </c>
      <c r="B187" s="50" t="s">
        <v>321</v>
      </c>
      <c r="C187" s="14">
        <f t="shared" si="2"/>
        <v>250000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36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250000</v>
      </c>
    </row>
    <row r="188" spans="1:23" ht="19.5" customHeight="1">
      <c r="A188" s="12" t="s">
        <v>224</v>
      </c>
      <c r="B188" s="51" t="s">
        <v>490</v>
      </c>
      <c r="C188" s="14">
        <f t="shared" si="2"/>
        <v>1544015</v>
      </c>
      <c r="D188" s="13">
        <v>0</v>
      </c>
      <c r="E188" s="13">
        <v>0</v>
      </c>
      <c r="F188" s="14">
        <v>0</v>
      </c>
      <c r="G188" s="13">
        <v>0</v>
      </c>
      <c r="H188" s="13">
        <v>0</v>
      </c>
      <c r="I188" s="13">
        <v>0</v>
      </c>
      <c r="J188" s="36">
        <v>0</v>
      </c>
      <c r="K188" s="13">
        <v>0</v>
      </c>
      <c r="L188" s="14">
        <v>980</v>
      </c>
      <c r="M188" s="14">
        <v>1544015</v>
      </c>
      <c r="N188" s="13">
        <v>0</v>
      </c>
      <c r="O188" s="13">
        <v>0</v>
      </c>
      <c r="P188" s="13">
        <v>0</v>
      </c>
      <c r="Q188" s="13">
        <v>0</v>
      </c>
      <c r="R188" s="14">
        <v>0</v>
      </c>
      <c r="S188" s="13">
        <v>0</v>
      </c>
      <c r="T188" s="13">
        <v>0</v>
      </c>
      <c r="U188" s="14">
        <v>0</v>
      </c>
      <c r="V188" s="14">
        <v>0</v>
      </c>
      <c r="W188" s="13">
        <v>0</v>
      </c>
    </row>
    <row r="189" spans="1:23" ht="19.5" customHeight="1">
      <c r="A189" s="12" t="s">
        <v>333</v>
      </c>
      <c r="B189" s="49" t="s">
        <v>491</v>
      </c>
      <c r="C189" s="14">
        <f t="shared" si="2"/>
        <v>3893730</v>
      </c>
      <c r="D189" s="13">
        <v>0</v>
      </c>
      <c r="E189" s="13">
        <v>0</v>
      </c>
      <c r="F189" s="14">
        <v>0</v>
      </c>
      <c r="G189" s="13">
        <v>0</v>
      </c>
      <c r="H189" s="13">
        <v>0</v>
      </c>
      <c r="I189" s="13">
        <v>0</v>
      </c>
      <c r="J189" s="36">
        <v>0</v>
      </c>
      <c r="K189" s="13">
        <v>0</v>
      </c>
      <c r="L189" s="13">
        <v>1248</v>
      </c>
      <c r="M189" s="13">
        <v>1413730</v>
      </c>
      <c r="N189" s="13">
        <v>0</v>
      </c>
      <c r="O189" s="13">
        <v>0</v>
      </c>
      <c r="P189" s="13">
        <v>0</v>
      </c>
      <c r="Q189" s="13">
        <v>0</v>
      </c>
      <c r="R189" s="14">
        <v>0</v>
      </c>
      <c r="S189" s="13">
        <v>0</v>
      </c>
      <c r="T189" s="13">
        <v>0</v>
      </c>
      <c r="U189" s="14">
        <v>0</v>
      </c>
      <c r="V189" s="14">
        <v>0</v>
      </c>
      <c r="W189" s="13">
        <f>2230000+250000</f>
        <v>2480000</v>
      </c>
    </row>
    <row r="190" spans="1:23" ht="19.5" customHeight="1">
      <c r="A190" s="12" t="s">
        <v>614</v>
      </c>
      <c r="B190" s="51" t="s">
        <v>492</v>
      </c>
      <c r="C190" s="14">
        <f t="shared" si="2"/>
        <v>2400950</v>
      </c>
      <c r="D190" s="13">
        <v>0</v>
      </c>
      <c r="E190" s="13">
        <v>0</v>
      </c>
      <c r="F190" s="14">
        <v>0</v>
      </c>
      <c r="G190" s="13">
        <v>0</v>
      </c>
      <c r="H190" s="13">
        <v>0</v>
      </c>
      <c r="I190" s="13">
        <v>0</v>
      </c>
      <c r="J190" s="36">
        <v>0</v>
      </c>
      <c r="K190" s="13">
        <v>0</v>
      </c>
      <c r="L190" s="14">
        <v>800</v>
      </c>
      <c r="M190" s="14">
        <v>2400950</v>
      </c>
      <c r="N190" s="13">
        <v>0</v>
      </c>
      <c r="O190" s="13">
        <v>0</v>
      </c>
      <c r="P190" s="13">
        <v>0</v>
      </c>
      <c r="Q190" s="13">
        <v>0</v>
      </c>
      <c r="R190" s="14">
        <v>0</v>
      </c>
      <c r="S190" s="13">
        <v>0</v>
      </c>
      <c r="T190" s="13">
        <v>0</v>
      </c>
      <c r="U190" s="14">
        <v>0</v>
      </c>
      <c r="V190" s="14">
        <v>0</v>
      </c>
      <c r="W190" s="13">
        <v>0</v>
      </c>
    </row>
    <row r="191" spans="1:23" ht="19.5" customHeight="1">
      <c r="A191" s="12" t="s">
        <v>225</v>
      </c>
      <c r="B191" s="51" t="s">
        <v>493</v>
      </c>
      <c r="C191" s="14">
        <f aca="true" t="shared" si="3" ref="C191:C251">D191+E191+F191+G191+H191+I191+K191+M191+O191+Q191+R191+T191+U191+V191+W191</f>
        <v>629222</v>
      </c>
      <c r="D191" s="13">
        <v>0</v>
      </c>
      <c r="E191" s="13">
        <v>0</v>
      </c>
      <c r="F191" s="14">
        <v>0</v>
      </c>
      <c r="G191" s="13">
        <v>0</v>
      </c>
      <c r="H191" s="13">
        <v>0</v>
      </c>
      <c r="I191" s="13">
        <v>0</v>
      </c>
      <c r="J191" s="36">
        <v>0</v>
      </c>
      <c r="K191" s="13">
        <v>0</v>
      </c>
      <c r="L191" s="13">
        <v>375</v>
      </c>
      <c r="M191" s="13">
        <v>629222</v>
      </c>
      <c r="N191" s="13">
        <v>0</v>
      </c>
      <c r="O191" s="13">
        <v>0</v>
      </c>
      <c r="P191" s="13">
        <v>0</v>
      </c>
      <c r="Q191" s="13">
        <v>0</v>
      </c>
      <c r="R191" s="14">
        <v>0</v>
      </c>
      <c r="S191" s="13">
        <v>0</v>
      </c>
      <c r="T191" s="13">
        <v>0</v>
      </c>
      <c r="U191" s="14">
        <v>0</v>
      </c>
      <c r="V191" s="14">
        <v>0</v>
      </c>
      <c r="W191" s="13">
        <v>0</v>
      </c>
    </row>
    <row r="192" spans="1:23" ht="19.5" customHeight="1">
      <c r="A192" s="12" t="s">
        <v>226</v>
      </c>
      <c r="B192" s="50" t="s">
        <v>322</v>
      </c>
      <c r="C192" s="14">
        <f t="shared" si="3"/>
        <v>250000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36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250000</v>
      </c>
    </row>
    <row r="193" spans="1:23" ht="19.5" customHeight="1">
      <c r="A193" s="12" t="s">
        <v>227</v>
      </c>
      <c r="B193" s="49" t="s">
        <v>494</v>
      </c>
      <c r="C193" s="14">
        <f t="shared" si="3"/>
        <v>1146000</v>
      </c>
      <c r="D193" s="13">
        <v>0</v>
      </c>
      <c r="E193" s="13">
        <v>896000</v>
      </c>
      <c r="F193" s="14">
        <v>0</v>
      </c>
      <c r="G193" s="13">
        <v>0</v>
      </c>
      <c r="H193" s="13">
        <v>0</v>
      </c>
      <c r="I193" s="13">
        <v>0</v>
      </c>
      <c r="J193" s="36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4">
        <v>0</v>
      </c>
      <c r="S193" s="13">
        <v>0</v>
      </c>
      <c r="T193" s="13">
        <v>0</v>
      </c>
      <c r="U193" s="14">
        <v>0</v>
      </c>
      <c r="V193" s="14">
        <v>0</v>
      </c>
      <c r="W193" s="13">
        <v>250000</v>
      </c>
    </row>
    <row r="194" spans="1:23" ht="19.5" customHeight="1">
      <c r="A194" s="12" t="s">
        <v>228</v>
      </c>
      <c r="B194" s="51" t="s">
        <v>495</v>
      </c>
      <c r="C194" s="14">
        <f t="shared" si="3"/>
        <v>634250.76</v>
      </c>
      <c r="D194" s="13">
        <v>0</v>
      </c>
      <c r="E194" s="13">
        <v>0</v>
      </c>
      <c r="F194" s="14">
        <v>0</v>
      </c>
      <c r="G194" s="13">
        <v>0</v>
      </c>
      <c r="H194" s="13">
        <v>11114</v>
      </c>
      <c r="I194" s="13">
        <v>0</v>
      </c>
      <c r="J194" s="36">
        <v>0</v>
      </c>
      <c r="K194" s="13">
        <v>0</v>
      </c>
      <c r="L194" s="14">
        <v>359.48</v>
      </c>
      <c r="M194" s="14">
        <v>623136.76</v>
      </c>
      <c r="N194" s="13">
        <v>0</v>
      </c>
      <c r="O194" s="13">
        <v>0</v>
      </c>
      <c r="P194" s="13">
        <v>0</v>
      </c>
      <c r="Q194" s="13">
        <v>0</v>
      </c>
      <c r="R194" s="14">
        <v>0</v>
      </c>
      <c r="S194" s="13">
        <v>0</v>
      </c>
      <c r="T194" s="13">
        <v>0</v>
      </c>
      <c r="U194" s="14">
        <v>0</v>
      </c>
      <c r="V194" s="14">
        <v>0</v>
      </c>
      <c r="W194" s="13">
        <v>0</v>
      </c>
    </row>
    <row r="195" spans="1:23" ht="19.5" customHeight="1">
      <c r="A195" s="12" t="s">
        <v>229</v>
      </c>
      <c r="B195" s="51" t="s">
        <v>496</v>
      </c>
      <c r="C195" s="14">
        <f t="shared" si="3"/>
        <v>1830000</v>
      </c>
      <c r="D195" s="13">
        <v>0</v>
      </c>
      <c r="E195" s="13">
        <v>0</v>
      </c>
      <c r="F195" s="14">
        <v>0</v>
      </c>
      <c r="G195" s="13">
        <v>0</v>
      </c>
      <c r="H195" s="13">
        <v>280000</v>
      </c>
      <c r="I195" s="13">
        <v>0</v>
      </c>
      <c r="J195" s="36">
        <v>0</v>
      </c>
      <c r="K195" s="13">
        <v>0</v>
      </c>
      <c r="L195" s="14">
        <v>650</v>
      </c>
      <c r="M195" s="14">
        <v>1300000</v>
      </c>
      <c r="N195" s="13">
        <v>0</v>
      </c>
      <c r="O195" s="13">
        <v>0</v>
      </c>
      <c r="P195" s="13">
        <v>0</v>
      </c>
      <c r="Q195" s="13">
        <v>0</v>
      </c>
      <c r="R195" s="14">
        <v>0</v>
      </c>
      <c r="S195" s="13">
        <v>0</v>
      </c>
      <c r="T195" s="13">
        <v>0</v>
      </c>
      <c r="U195" s="14">
        <v>0</v>
      </c>
      <c r="V195" s="14">
        <v>0</v>
      </c>
      <c r="W195" s="13">
        <v>250000</v>
      </c>
    </row>
    <row r="196" spans="1:23" ht="19.5" customHeight="1">
      <c r="A196" s="12" t="s">
        <v>230</v>
      </c>
      <c r="B196" s="50" t="s">
        <v>323</v>
      </c>
      <c r="C196" s="14">
        <f t="shared" si="3"/>
        <v>250000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36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250000</v>
      </c>
    </row>
    <row r="197" spans="1:23" ht="19.5" customHeight="1">
      <c r="A197" s="12" t="s">
        <v>231</v>
      </c>
      <c r="B197" s="51" t="s">
        <v>497</v>
      </c>
      <c r="C197" s="14">
        <f t="shared" si="3"/>
        <v>1470000</v>
      </c>
      <c r="D197" s="13">
        <v>0</v>
      </c>
      <c r="E197" s="13">
        <v>0</v>
      </c>
      <c r="F197" s="14">
        <v>0</v>
      </c>
      <c r="G197" s="13">
        <v>0</v>
      </c>
      <c r="H197" s="14">
        <v>120000</v>
      </c>
      <c r="I197" s="13">
        <v>0</v>
      </c>
      <c r="J197" s="36">
        <v>0</v>
      </c>
      <c r="K197" s="13">
        <v>0</v>
      </c>
      <c r="L197" s="14">
        <v>670</v>
      </c>
      <c r="M197" s="14">
        <v>1100000</v>
      </c>
      <c r="N197" s="13">
        <v>0</v>
      </c>
      <c r="O197" s="13">
        <v>0</v>
      </c>
      <c r="P197" s="13">
        <v>0</v>
      </c>
      <c r="Q197" s="13">
        <v>0</v>
      </c>
      <c r="R197" s="14">
        <v>0</v>
      </c>
      <c r="S197" s="13">
        <v>0</v>
      </c>
      <c r="T197" s="13">
        <v>0</v>
      </c>
      <c r="U197" s="14">
        <v>0</v>
      </c>
      <c r="V197" s="14">
        <v>0</v>
      </c>
      <c r="W197" s="13">
        <v>250000</v>
      </c>
    </row>
    <row r="198" spans="1:23" ht="19.5" customHeight="1">
      <c r="A198" s="12" t="s">
        <v>232</v>
      </c>
      <c r="B198" s="51" t="s">
        <v>498</v>
      </c>
      <c r="C198" s="14">
        <f t="shared" si="3"/>
        <v>250000</v>
      </c>
      <c r="D198" s="13">
        <v>0</v>
      </c>
      <c r="E198" s="13">
        <v>0</v>
      </c>
      <c r="F198" s="14">
        <v>0</v>
      </c>
      <c r="G198" s="13">
        <v>0</v>
      </c>
      <c r="H198" s="13">
        <v>150000</v>
      </c>
      <c r="I198" s="13">
        <v>0</v>
      </c>
      <c r="J198" s="36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4">
        <v>0</v>
      </c>
      <c r="S198" s="13">
        <v>0</v>
      </c>
      <c r="T198" s="13">
        <v>0</v>
      </c>
      <c r="U198" s="14">
        <v>0</v>
      </c>
      <c r="V198" s="14">
        <v>0</v>
      </c>
      <c r="W198" s="13">
        <v>100000</v>
      </c>
    </row>
    <row r="199" spans="1:23" ht="19.5" customHeight="1">
      <c r="A199" s="12" t="s">
        <v>334</v>
      </c>
      <c r="B199" s="49" t="s">
        <v>499</v>
      </c>
      <c r="C199" s="14">
        <f t="shared" si="3"/>
        <v>3789443.35</v>
      </c>
      <c r="D199" s="13">
        <v>0</v>
      </c>
      <c r="E199" s="13">
        <v>0</v>
      </c>
      <c r="F199" s="14">
        <v>0</v>
      </c>
      <c r="G199" s="13">
        <v>0</v>
      </c>
      <c r="H199" s="13">
        <v>0</v>
      </c>
      <c r="I199" s="13">
        <v>0</v>
      </c>
      <c r="J199" s="36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1120</v>
      </c>
      <c r="Q199" s="13">
        <v>3789443.35</v>
      </c>
      <c r="R199" s="14">
        <v>0</v>
      </c>
      <c r="S199" s="13">
        <v>0</v>
      </c>
      <c r="T199" s="13">
        <v>0</v>
      </c>
      <c r="U199" s="14">
        <v>0</v>
      </c>
      <c r="V199" s="14">
        <v>0</v>
      </c>
      <c r="W199" s="13">
        <v>0</v>
      </c>
    </row>
    <row r="200" spans="1:23" ht="19.5" customHeight="1">
      <c r="A200" s="12" t="s">
        <v>233</v>
      </c>
      <c r="B200" s="53" t="s">
        <v>500</v>
      </c>
      <c r="C200" s="14">
        <f t="shared" si="3"/>
        <v>981561</v>
      </c>
      <c r="D200" s="13">
        <v>0</v>
      </c>
      <c r="E200" s="13">
        <v>0</v>
      </c>
      <c r="F200" s="14">
        <v>0</v>
      </c>
      <c r="G200" s="13">
        <v>0</v>
      </c>
      <c r="H200" s="13">
        <v>0</v>
      </c>
      <c r="I200" s="13">
        <v>0</v>
      </c>
      <c r="J200" s="36">
        <v>0</v>
      </c>
      <c r="K200" s="13">
        <v>0</v>
      </c>
      <c r="L200" s="13">
        <v>620</v>
      </c>
      <c r="M200" s="13">
        <v>731561</v>
      </c>
      <c r="N200" s="13">
        <v>0</v>
      </c>
      <c r="O200" s="13">
        <v>0</v>
      </c>
      <c r="P200" s="13">
        <v>0</v>
      </c>
      <c r="Q200" s="13">
        <v>0</v>
      </c>
      <c r="R200" s="14">
        <v>0</v>
      </c>
      <c r="S200" s="13">
        <v>0</v>
      </c>
      <c r="T200" s="13">
        <v>0</v>
      </c>
      <c r="U200" s="14">
        <v>0</v>
      </c>
      <c r="V200" s="14">
        <v>0</v>
      </c>
      <c r="W200" s="13">
        <v>250000</v>
      </c>
    </row>
    <row r="201" spans="1:23" ht="19.5" customHeight="1">
      <c r="A201" s="12" t="s">
        <v>234</v>
      </c>
      <c r="B201" s="53" t="s">
        <v>501</v>
      </c>
      <c r="C201" s="14">
        <f t="shared" si="3"/>
        <v>982594</v>
      </c>
      <c r="D201" s="13">
        <v>0</v>
      </c>
      <c r="E201" s="13">
        <v>0</v>
      </c>
      <c r="F201" s="14">
        <v>0</v>
      </c>
      <c r="G201" s="13">
        <v>0</v>
      </c>
      <c r="H201" s="13">
        <v>0</v>
      </c>
      <c r="I201" s="13">
        <v>0</v>
      </c>
      <c r="J201" s="36">
        <v>0</v>
      </c>
      <c r="K201" s="13">
        <v>0</v>
      </c>
      <c r="L201" s="13">
        <v>620</v>
      </c>
      <c r="M201" s="13">
        <v>732594</v>
      </c>
      <c r="N201" s="13">
        <v>0</v>
      </c>
      <c r="O201" s="13">
        <v>0</v>
      </c>
      <c r="P201" s="13">
        <v>0</v>
      </c>
      <c r="Q201" s="13">
        <v>0</v>
      </c>
      <c r="R201" s="14">
        <v>0</v>
      </c>
      <c r="S201" s="13">
        <v>0</v>
      </c>
      <c r="T201" s="13">
        <v>0</v>
      </c>
      <c r="U201" s="14">
        <v>0</v>
      </c>
      <c r="V201" s="14">
        <v>0</v>
      </c>
      <c r="W201" s="13">
        <v>250000</v>
      </c>
    </row>
    <row r="202" spans="1:23" ht="19.5" customHeight="1">
      <c r="A202" s="12" t="s">
        <v>235</v>
      </c>
      <c r="B202" s="49" t="s">
        <v>502</v>
      </c>
      <c r="C202" s="14">
        <f t="shared" si="3"/>
        <v>451969.5</v>
      </c>
      <c r="D202" s="13">
        <v>0</v>
      </c>
      <c r="E202" s="13">
        <v>0</v>
      </c>
      <c r="F202" s="14">
        <v>0</v>
      </c>
      <c r="G202" s="13">
        <v>0</v>
      </c>
      <c r="H202" s="13">
        <v>0</v>
      </c>
      <c r="I202" s="13">
        <v>0</v>
      </c>
      <c r="J202" s="36">
        <v>0</v>
      </c>
      <c r="K202" s="13">
        <v>0</v>
      </c>
      <c r="L202" s="14">
        <v>305.9</v>
      </c>
      <c r="M202" s="14">
        <v>451969.5</v>
      </c>
      <c r="N202" s="13">
        <v>0</v>
      </c>
      <c r="O202" s="13">
        <v>0</v>
      </c>
      <c r="P202" s="13">
        <v>0</v>
      </c>
      <c r="Q202" s="13">
        <v>0</v>
      </c>
      <c r="R202" s="14">
        <v>0</v>
      </c>
      <c r="S202" s="13">
        <v>0</v>
      </c>
      <c r="T202" s="13">
        <v>0</v>
      </c>
      <c r="U202" s="14">
        <v>0</v>
      </c>
      <c r="V202" s="14">
        <v>0</v>
      </c>
      <c r="W202" s="13">
        <v>0</v>
      </c>
    </row>
    <row r="203" spans="1:23" ht="19.5" customHeight="1">
      <c r="A203" s="12" t="s">
        <v>236</v>
      </c>
      <c r="B203" s="49" t="s">
        <v>503</v>
      </c>
      <c r="C203" s="14">
        <f t="shared" si="3"/>
        <v>474133.44</v>
      </c>
      <c r="D203" s="13">
        <v>0</v>
      </c>
      <c r="E203" s="13">
        <v>0</v>
      </c>
      <c r="F203" s="14">
        <v>0</v>
      </c>
      <c r="G203" s="13">
        <v>0</v>
      </c>
      <c r="H203" s="13">
        <v>0</v>
      </c>
      <c r="I203" s="13">
        <v>0</v>
      </c>
      <c r="J203" s="36">
        <v>0</v>
      </c>
      <c r="K203" s="13">
        <v>0</v>
      </c>
      <c r="L203" s="13">
        <v>303.2</v>
      </c>
      <c r="M203" s="13">
        <v>474133.44</v>
      </c>
      <c r="N203" s="13">
        <v>0</v>
      </c>
      <c r="O203" s="13">
        <v>0</v>
      </c>
      <c r="P203" s="13">
        <v>0</v>
      </c>
      <c r="Q203" s="13">
        <v>0</v>
      </c>
      <c r="R203" s="14">
        <v>0</v>
      </c>
      <c r="S203" s="13">
        <v>0</v>
      </c>
      <c r="T203" s="13">
        <v>0</v>
      </c>
      <c r="U203" s="14">
        <v>0</v>
      </c>
      <c r="V203" s="14">
        <v>0</v>
      </c>
      <c r="W203" s="13">
        <v>0</v>
      </c>
    </row>
    <row r="204" spans="1:23" ht="19.5" customHeight="1">
      <c r="A204" s="12" t="s">
        <v>237</v>
      </c>
      <c r="B204" s="49" t="s">
        <v>504</v>
      </c>
      <c r="C204" s="14">
        <f t="shared" si="3"/>
        <v>456612.8</v>
      </c>
      <c r="D204" s="13">
        <v>0</v>
      </c>
      <c r="E204" s="13">
        <v>0</v>
      </c>
      <c r="F204" s="14">
        <v>0</v>
      </c>
      <c r="G204" s="13">
        <v>0</v>
      </c>
      <c r="H204" s="13">
        <v>0</v>
      </c>
      <c r="I204" s="13">
        <v>0</v>
      </c>
      <c r="J204" s="36">
        <v>0</v>
      </c>
      <c r="K204" s="13">
        <v>0</v>
      </c>
      <c r="L204" s="13">
        <v>304</v>
      </c>
      <c r="M204" s="13">
        <v>456612.8</v>
      </c>
      <c r="N204" s="13">
        <v>0</v>
      </c>
      <c r="O204" s="13">
        <v>0</v>
      </c>
      <c r="P204" s="13">
        <v>0</v>
      </c>
      <c r="Q204" s="13">
        <v>0</v>
      </c>
      <c r="R204" s="14">
        <v>0</v>
      </c>
      <c r="S204" s="13">
        <v>0</v>
      </c>
      <c r="T204" s="13">
        <v>0</v>
      </c>
      <c r="U204" s="14">
        <v>0</v>
      </c>
      <c r="V204" s="14">
        <v>0</v>
      </c>
      <c r="W204" s="13">
        <v>0</v>
      </c>
    </row>
    <row r="205" spans="1:23" ht="19.5" customHeight="1">
      <c r="A205" s="12" t="s">
        <v>615</v>
      </c>
      <c r="B205" s="51" t="s">
        <v>505</v>
      </c>
      <c r="C205" s="14">
        <f t="shared" si="3"/>
        <v>964430</v>
      </c>
      <c r="D205" s="13">
        <v>0</v>
      </c>
      <c r="E205" s="13">
        <v>0</v>
      </c>
      <c r="F205" s="14">
        <v>0</v>
      </c>
      <c r="G205" s="13">
        <v>0</v>
      </c>
      <c r="H205" s="13">
        <v>0</v>
      </c>
      <c r="I205" s="13">
        <v>0</v>
      </c>
      <c r="J205" s="36">
        <v>0</v>
      </c>
      <c r="K205" s="13">
        <v>0</v>
      </c>
      <c r="L205" s="14">
        <v>815.34</v>
      </c>
      <c r="M205" s="14">
        <v>964430</v>
      </c>
      <c r="N205" s="13">
        <v>0</v>
      </c>
      <c r="O205" s="13">
        <v>0</v>
      </c>
      <c r="P205" s="13">
        <v>0</v>
      </c>
      <c r="Q205" s="13">
        <v>0</v>
      </c>
      <c r="R205" s="14">
        <v>0</v>
      </c>
      <c r="S205" s="13">
        <v>0</v>
      </c>
      <c r="T205" s="13">
        <v>0</v>
      </c>
      <c r="U205" s="14">
        <v>0</v>
      </c>
      <c r="V205" s="14">
        <v>0</v>
      </c>
      <c r="W205" s="13">
        <v>0</v>
      </c>
    </row>
    <row r="206" spans="1:23" ht="19.5" customHeight="1">
      <c r="A206" s="12" t="s">
        <v>238</v>
      </c>
      <c r="B206" s="51" t="s">
        <v>506</v>
      </c>
      <c r="C206" s="14">
        <f t="shared" si="3"/>
        <v>540024.64</v>
      </c>
      <c r="D206" s="13">
        <v>0</v>
      </c>
      <c r="E206" s="13">
        <v>0</v>
      </c>
      <c r="F206" s="14">
        <v>0</v>
      </c>
      <c r="G206" s="14">
        <v>311997.9</v>
      </c>
      <c r="H206" s="14">
        <v>228026.74</v>
      </c>
      <c r="I206" s="13">
        <v>0</v>
      </c>
      <c r="J206" s="36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4">
        <v>0</v>
      </c>
      <c r="S206" s="13">
        <v>0</v>
      </c>
      <c r="T206" s="13">
        <v>0</v>
      </c>
      <c r="U206" s="14">
        <v>0</v>
      </c>
      <c r="V206" s="14">
        <v>0</v>
      </c>
      <c r="W206" s="13">
        <v>0</v>
      </c>
    </row>
    <row r="207" spans="1:23" ht="19.5" customHeight="1">
      <c r="A207" s="12" t="s">
        <v>239</v>
      </c>
      <c r="B207" s="51" t="s">
        <v>507</v>
      </c>
      <c r="C207" s="14">
        <f t="shared" si="3"/>
        <v>1097475.86</v>
      </c>
      <c r="D207" s="13">
        <v>0</v>
      </c>
      <c r="E207" s="13">
        <v>0</v>
      </c>
      <c r="F207" s="14">
        <v>0</v>
      </c>
      <c r="G207" s="13">
        <v>0</v>
      </c>
      <c r="H207" s="13">
        <v>0</v>
      </c>
      <c r="I207" s="13">
        <v>0</v>
      </c>
      <c r="J207" s="36">
        <v>0</v>
      </c>
      <c r="K207" s="13">
        <v>0</v>
      </c>
      <c r="L207" s="13">
        <v>980</v>
      </c>
      <c r="M207" s="13">
        <v>1097475.86</v>
      </c>
      <c r="N207" s="13">
        <v>0</v>
      </c>
      <c r="O207" s="13">
        <v>0</v>
      </c>
      <c r="P207" s="13">
        <v>0</v>
      </c>
      <c r="Q207" s="13">
        <v>0</v>
      </c>
      <c r="R207" s="14">
        <v>0</v>
      </c>
      <c r="S207" s="13">
        <v>0</v>
      </c>
      <c r="T207" s="13">
        <v>0</v>
      </c>
      <c r="U207" s="14">
        <v>0</v>
      </c>
      <c r="V207" s="14">
        <v>0</v>
      </c>
      <c r="W207" s="13">
        <v>0</v>
      </c>
    </row>
    <row r="208" spans="1:23" ht="19.5" customHeight="1">
      <c r="A208" s="12" t="s">
        <v>616</v>
      </c>
      <c r="B208" s="51" t="s">
        <v>508</v>
      </c>
      <c r="C208" s="14">
        <f t="shared" si="3"/>
        <v>536532.09</v>
      </c>
      <c r="D208" s="13">
        <v>0</v>
      </c>
      <c r="E208" s="13">
        <v>0</v>
      </c>
      <c r="F208" s="14">
        <v>0</v>
      </c>
      <c r="G208" s="13">
        <v>0</v>
      </c>
      <c r="H208" s="13">
        <v>0</v>
      </c>
      <c r="I208" s="13">
        <v>0</v>
      </c>
      <c r="J208" s="36">
        <v>0</v>
      </c>
      <c r="K208" s="13">
        <v>0</v>
      </c>
      <c r="L208" s="14">
        <v>462</v>
      </c>
      <c r="M208" s="14">
        <v>536532.09</v>
      </c>
      <c r="N208" s="13">
        <v>0</v>
      </c>
      <c r="O208" s="13">
        <v>0</v>
      </c>
      <c r="P208" s="13">
        <v>0</v>
      </c>
      <c r="Q208" s="13">
        <v>0</v>
      </c>
      <c r="R208" s="14">
        <v>0</v>
      </c>
      <c r="S208" s="13">
        <v>0</v>
      </c>
      <c r="T208" s="13">
        <v>0</v>
      </c>
      <c r="U208" s="14">
        <v>0</v>
      </c>
      <c r="V208" s="14">
        <v>0</v>
      </c>
      <c r="W208" s="13">
        <v>0</v>
      </c>
    </row>
    <row r="209" spans="1:23" ht="19.5" customHeight="1">
      <c r="A209" s="12" t="s">
        <v>335</v>
      </c>
      <c r="B209" s="51" t="s">
        <v>509</v>
      </c>
      <c r="C209" s="14">
        <f t="shared" si="3"/>
        <v>220019</v>
      </c>
      <c r="D209" s="13">
        <v>0</v>
      </c>
      <c r="E209" s="13">
        <v>0</v>
      </c>
      <c r="F209" s="14">
        <v>0</v>
      </c>
      <c r="G209" s="13">
        <v>0</v>
      </c>
      <c r="H209" s="13">
        <v>0</v>
      </c>
      <c r="I209" s="13">
        <v>0</v>
      </c>
      <c r="J209" s="36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4">
        <v>0</v>
      </c>
      <c r="S209" s="13">
        <v>0</v>
      </c>
      <c r="T209" s="13">
        <v>0</v>
      </c>
      <c r="U209" s="14">
        <v>0</v>
      </c>
      <c r="V209" s="14">
        <v>0</v>
      </c>
      <c r="W209" s="13">
        <v>220019</v>
      </c>
    </row>
    <row r="210" spans="1:23" ht="19.5" customHeight="1">
      <c r="A210" s="12" t="s">
        <v>240</v>
      </c>
      <c r="B210" s="49" t="s">
        <v>510</v>
      </c>
      <c r="C210" s="14">
        <f t="shared" si="3"/>
        <v>1079861.1800000002</v>
      </c>
      <c r="D210" s="13">
        <v>0</v>
      </c>
      <c r="E210" s="13">
        <v>0</v>
      </c>
      <c r="F210" s="14">
        <v>0</v>
      </c>
      <c r="G210" s="13">
        <v>0</v>
      </c>
      <c r="H210" s="13">
        <v>227251</v>
      </c>
      <c r="I210" s="13">
        <v>0</v>
      </c>
      <c r="J210" s="36">
        <v>0</v>
      </c>
      <c r="K210" s="13">
        <v>0</v>
      </c>
      <c r="L210" s="13">
        <v>505.3</v>
      </c>
      <c r="M210" s="13">
        <v>852610.18</v>
      </c>
      <c r="N210" s="13">
        <v>0</v>
      </c>
      <c r="O210" s="13">
        <v>0</v>
      </c>
      <c r="P210" s="13">
        <v>0</v>
      </c>
      <c r="Q210" s="13">
        <v>0</v>
      </c>
      <c r="R210" s="14">
        <v>0</v>
      </c>
      <c r="S210" s="13">
        <v>0</v>
      </c>
      <c r="T210" s="13">
        <v>0</v>
      </c>
      <c r="U210" s="14">
        <v>0</v>
      </c>
      <c r="V210" s="14">
        <v>0</v>
      </c>
      <c r="W210" s="13">
        <v>0</v>
      </c>
    </row>
    <row r="211" spans="1:23" ht="19.5" customHeight="1">
      <c r="A211" s="12" t="s">
        <v>241</v>
      </c>
      <c r="B211" s="49" t="s">
        <v>511</v>
      </c>
      <c r="C211" s="14">
        <f t="shared" si="3"/>
        <v>279000</v>
      </c>
      <c r="D211" s="13">
        <v>0</v>
      </c>
      <c r="E211" s="13">
        <v>0</v>
      </c>
      <c r="F211" s="14">
        <v>0</v>
      </c>
      <c r="G211" s="13">
        <v>279000</v>
      </c>
      <c r="H211" s="13">
        <v>0</v>
      </c>
      <c r="I211" s="13">
        <v>0</v>
      </c>
      <c r="J211" s="36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4">
        <v>0</v>
      </c>
      <c r="S211" s="13">
        <v>0</v>
      </c>
      <c r="T211" s="13">
        <v>0</v>
      </c>
      <c r="U211" s="14">
        <v>0</v>
      </c>
      <c r="V211" s="14">
        <v>0</v>
      </c>
      <c r="W211" s="13">
        <v>0</v>
      </c>
    </row>
    <row r="212" spans="1:23" ht="19.5" customHeight="1">
      <c r="A212" s="12" t="s">
        <v>242</v>
      </c>
      <c r="B212" s="49" t="s">
        <v>512</v>
      </c>
      <c r="C212" s="14">
        <f t="shared" si="3"/>
        <v>1565725.99</v>
      </c>
      <c r="D212" s="13">
        <v>0</v>
      </c>
      <c r="E212" s="13">
        <v>0</v>
      </c>
      <c r="F212" s="14">
        <v>0</v>
      </c>
      <c r="G212" s="13">
        <v>0</v>
      </c>
      <c r="H212" s="13">
        <v>0</v>
      </c>
      <c r="I212" s="13">
        <v>0</v>
      </c>
      <c r="J212" s="36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459.3</v>
      </c>
      <c r="Q212" s="13">
        <v>1565725.99</v>
      </c>
      <c r="R212" s="14">
        <v>0</v>
      </c>
      <c r="S212" s="13">
        <v>0</v>
      </c>
      <c r="T212" s="13">
        <v>0</v>
      </c>
      <c r="U212" s="14">
        <v>0</v>
      </c>
      <c r="V212" s="14">
        <v>0</v>
      </c>
      <c r="W212" s="13">
        <v>0</v>
      </c>
    </row>
    <row r="213" spans="1:23" ht="19.5" customHeight="1">
      <c r="A213" s="12" t="s">
        <v>243</v>
      </c>
      <c r="B213" s="49" t="s">
        <v>513</v>
      </c>
      <c r="C213" s="14">
        <f t="shared" si="3"/>
        <v>700000</v>
      </c>
      <c r="D213" s="13">
        <v>0</v>
      </c>
      <c r="E213" s="13">
        <v>0</v>
      </c>
      <c r="F213" s="14">
        <v>0</v>
      </c>
      <c r="G213" s="13">
        <v>0</v>
      </c>
      <c r="H213" s="13">
        <v>0</v>
      </c>
      <c r="I213" s="13">
        <v>0</v>
      </c>
      <c r="J213" s="36">
        <v>0</v>
      </c>
      <c r="K213" s="13">
        <v>0</v>
      </c>
      <c r="L213" s="13">
        <v>350</v>
      </c>
      <c r="M213" s="13">
        <v>700000</v>
      </c>
      <c r="N213" s="13">
        <v>0</v>
      </c>
      <c r="O213" s="13">
        <v>0</v>
      </c>
      <c r="P213" s="13">
        <v>0</v>
      </c>
      <c r="Q213" s="13">
        <v>0</v>
      </c>
      <c r="R213" s="14">
        <v>0</v>
      </c>
      <c r="S213" s="13">
        <v>0</v>
      </c>
      <c r="T213" s="13">
        <v>0</v>
      </c>
      <c r="U213" s="14">
        <v>0</v>
      </c>
      <c r="V213" s="14">
        <v>0</v>
      </c>
      <c r="W213" s="13">
        <v>0</v>
      </c>
    </row>
    <row r="214" spans="1:23" ht="19.5" customHeight="1">
      <c r="A214" s="12" t="s">
        <v>244</v>
      </c>
      <c r="B214" s="49" t="s">
        <v>514</v>
      </c>
      <c r="C214" s="14">
        <f t="shared" si="3"/>
        <v>800000</v>
      </c>
      <c r="D214" s="13">
        <v>0</v>
      </c>
      <c r="E214" s="13">
        <v>0</v>
      </c>
      <c r="F214" s="14">
        <v>0</v>
      </c>
      <c r="G214" s="13">
        <v>0</v>
      </c>
      <c r="H214" s="13">
        <v>0</v>
      </c>
      <c r="I214" s="13">
        <v>0</v>
      </c>
      <c r="J214" s="36">
        <v>0</v>
      </c>
      <c r="K214" s="13">
        <v>0</v>
      </c>
      <c r="L214" s="13">
        <v>400</v>
      </c>
      <c r="M214" s="13">
        <v>800000</v>
      </c>
      <c r="N214" s="13">
        <v>0</v>
      </c>
      <c r="O214" s="13">
        <v>0</v>
      </c>
      <c r="P214" s="13">
        <v>0</v>
      </c>
      <c r="Q214" s="13">
        <v>0</v>
      </c>
      <c r="R214" s="14">
        <v>0</v>
      </c>
      <c r="S214" s="13">
        <v>0</v>
      </c>
      <c r="T214" s="13">
        <v>0</v>
      </c>
      <c r="U214" s="14">
        <v>0</v>
      </c>
      <c r="V214" s="14">
        <v>0</v>
      </c>
      <c r="W214" s="13">
        <v>0</v>
      </c>
    </row>
    <row r="215" spans="1:23" ht="19.5" customHeight="1">
      <c r="A215" s="12" t="s">
        <v>245</v>
      </c>
      <c r="B215" s="49" t="s">
        <v>515</v>
      </c>
      <c r="C215" s="14">
        <f t="shared" si="3"/>
        <v>314187</v>
      </c>
      <c r="D215" s="13">
        <v>0</v>
      </c>
      <c r="E215" s="13">
        <v>0</v>
      </c>
      <c r="F215" s="14">
        <v>0</v>
      </c>
      <c r="G215" s="13">
        <v>159405</v>
      </c>
      <c r="H215" s="13">
        <v>154782</v>
      </c>
      <c r="I215" s="13">
        <v>0</v>
      </c>
      <c r="J215" s="36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4">
        <v>0</v>
      </c>
      <c r="S215" s="13">
        <v>0</v>
      </c>
      <c r="T215" s="13">
        <v>0</v>
      </c>
      <c r="U215" s="14">
        <v>0</v>
      </c>
      <c r="V215" s="14">
        <v>0</v>
      </c>
      <c r="W215" s="13">
        <v>0</v>
      </c>
    </row>
    <row r="216" spans="1:23" ht="19.5" customHeight="1">
      <c r="A216" s="12" t="s">
        <v>246</v>
      </c>
      <c r="B216" s="49" t="s">
        <v>516</v>
      </c>
      <c r="C216" s="14">
        <f t="shared" si="3"/>
        <v>935938.64</v>
      </c>
      <c r="D216" s="13">
        <v>0</v>
      </c>
      <c r="E216" s="13">
        <v>0</v>
      </c>
      <c r="F216" s="14">
        <v>0</v>
      </c>
      <c r="G216" s="13">
        <v>0</v>
      </c>
      <c r="H216" s="13">
        <v>0</v>
      </c>
      <c r="I216" s="13">
        <v>0</v>
      </c>
      <c r="J216" s="36">
        <v>0</v>
      </c>
      <c r="K216" s="13">
        <v>0</v>
      </c>
      <c r="L216" s="14">
        <v>780</v>
      </c>
      <c r="M216" s="14">
        <v>935938.64</v>
      </c>
      <c r="N216" s="13">
        <v>0</v>
      </c>
      <c r="O216" s="13">
        <v>0</v>
      </c>
      <c r="P216" s="13">
        <v>0</v>
      </c>
      <c r="Q216" s="13">
        <v>0</v>
      </c>
      <c r="R216" s="14">
        <v>0</v>
      </c>
      <c r="S216" s="13">
        <v>0</v>
      </c>
      <c r="T216" s="13">
        <v>0</v>
      </c>
      <c r="U216" s="14">
        <v>0</v>
      </c>
      <c r="V216" s="14">
        <v>0</v>
      </c>
      <c r="W216" s="13">
        <v>0</v>
      </c>
    </row>
    <row r="217" spans="1:23" ht="19.5" customHeight="1">
      <c r="A217" s="12" t="s">
        <v>247</v>
      </c>
      <c r="B217" s="49" t="s">
        <v>517</v>
      </c>
      <c r="C217" s="14">
        <f t="shared" si="3"/>
        <v>952226.44</v>
      </c>
      <c r="D217" s="13">
        <v>0</v>
      </c>
      <c r="E217" s="13">
        <v>0</v>
      </c>
      <c r="F217" s="14">
        <v>0</v>
      </c>
      <c r="G217" s="13">
        <v>0</v>
      </c>
      <c r="H217" s="13">
        <v>0</v>
      </c>
      <c r="I217" s="13">
        <v>0</v>
      </c>
      <c r="J217" s="36">
        <v>0</v>
      </c>
      <c r="K217" s="13">
        <v>0</v>
      </c>
      <c r="L217" s="14">
        <v>770</v>
      </c>
      <c r="M217" s="14">
        <v>952226.44</v>
      </c>
      <c r="N217" s="13">
        <v>0</v>
      </c>
      <c r="O217" s="13">
        <v>0</v>
      </c>
      <c r="P217" s="13">
        <v>0</v>
      </c>
      <c r="Q217" s="13">
        <v>0</v>
      </c>
      <c r="R217" s="14">
        <v>0</v>
      </c>
      <c r="S217" s="13">
        <v>0</v>
      </c>
      <c r="T217" s="13">
        <v>0</v>
      </c>
      <c r="U217" s="14">
        <v>0</v>
      </c>
      <c r="V217" s="14">
        <v>0</v>
      </c>
      <c r="W217" s="13">
        <v>0</v>
      </c>
    </row>
    <row r="218" spans="1:23" ht="19.5" customHeight="1">
      <c r="A218" s="12" t="s">
        <v>248</v>
      </c>
      <c r="B218" s="49" t="s">
        <v>518</v>
      </c>
      <c r="C218" s="14">
        <f t="shared" si="3"/>
        <v>3088650.54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36">
        <v>2</v>
      </c>
      <c r="K218" s="13">
        <v>3000000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88650.54</v>
      </c>
    </row>
    <row r="219" spans="1:23" ht="19.5" customHeight="1">
      <c r="A219" s="12" t="s">
        <v>249</v>
      </c>
      <c r="B219" s="49" t="s">
        <v>519</v>
      </c>
      <c r="C219" s="14">
        <f t="shared" si="3"/>
        <v>5905374</v>
      </c>
      <c r="D219" s="13">
        <v>0</v>
      </c>
      <c r="E219" s="13">
        <v>0</v>
      </c>
      <c r="F219" s="14">
        <v>0</v>
      </c>
      <c r="G219" s="13">
        <v>0</v>
      </c>
      <c r="H219" s="13">
        <v>0</v>
      </c>
      <c r="I219" s="13">
        <v>0</v>
      </c>
      <c r="J219" s="36">
        <v>0</v>
      </c>
      <c r="K219" s="13">
        <v>0</v>
      </c>
      <c r="L219" s="13">
        <v>1017</v>
      </c>
      <c r="M219" s="13">
        <v>1558852</v>
      </c>
      <c r="N219" s="13">
        <v>0</v>
      </c>
      <c r="O219" s="13">
        <v>0</v>
      </c>
      <c r="P219" s="13">
        <v>1138.5</v>
      </c>
      <c r="Q219" s="13">
        <v>4096522</v>
      </c>
      <c r="R219" s="14">
        <v>0</v>
      </c>
      <c r="S219" s="13">
        <v>0</v>
      </c>
      <c r="T219" s="13">
        <v>0</v>
      </c>
      <c r="U219" s="14">
        <v>0</v>
      </c>
      <c r="V219" s="14">
        <v>0</v>
      </c>
      <c r="W219" s="13">
        <v>250000</v>
      </c>
    </row>
    <row r="220" spans="1:23" ht="19.5" customHeight="1">
      <c r="A220" s="12" t="s">
        <v>250</v>
      </c>
      <c r="B220" s="49" t="s">
        <v>520</v>
      </c>
      <c r="C220" s="14">
        <f t="shared" si="3"/>
        <v>736256</v>
      </c>
      <c r="D220" s="13">
        <v>0</v>
      </c>
      <c r="E220" s="13">
        <v>0</v>
      </c>
      <c r="F220" s="14">
        <v>0</v>
      </c>
      <c r="G220" s="13">
        <v>0</v>
      </c>
      <c r="H220" s="13">
        <v>0</v>
      </c>
      <c r="I220" s="13">
        <v>0</v>
      </c>
      <c r="J220" s="36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221.9</v>
      </c>
      <c r="Q220" s="13">
        <v>736256</v>
      </c>
      <c r="R220" s="14">
        <v>0</v>
      </c>
      <c r="S220" s="13">
        <v>0</v>
      </c>
      <c r="T220" s="13">
        <v>0</v>
      </c>
      <c r="U220" s="14">
        <v>0</v>
      </c>
      <c r="V220" s="14">
        <v>0</v>
      </c>
      <c r="W220" s="13">
        <v>0</v>
      </c>
    </row>
    <row r="221" spans="1:23" ht="19.5" customHeight="1">
      <c r="A221" s="12" t="s">
        <v>251</v>
      </c>
      <c r="B221" s="49" t="s">
        <v>521</v>
      </c>
      <c r="C221" s="14">
        <f t="shared" si="3"/>
        <v>5066398</v>
      </c>
      <c r="D221" s="13">
        <v>0</v>
      </c>
      <c r="E221" s="13">
        <v>0</v>
      </c>
      <c r="F221" s="14">
        <v>0</v>
      </c>
      <c r="G221" s="13">
        <v>0</v>
      </c>
      <c r="H221" s="13">
        <v>0</v>
      </c>
      <c r="I221" s="13">
        <v>0</v>
      </c>
      <c r="J221" s="36">
        <v>0</v>
      </c>
      <c r="K221" s="13">
        <v>0</v>
      </c>
      <c r="L221" s="13">
        <v>1900</v>
      </c>
      <c r="M221" s="13">
        <v>1818898</v>
      </c>
      <c r="N221" s="13">
        <v>0</v>
      </c>
      <c r="O221" s="13">
        <v>0</v>
      </c>
      <c r="P221" s="13">
        <v>915</v>
      </c>
      <c r="Q221" s="13">
        <v>2997500</v>
      </c>
      <c r="R221" s="14">
        <v>0</v>
      </c>
      <c r="S221" s="13">
        <v>0</v>
      </c>
      <c r="T221" s="13">
        <v>0</v>
      </c>
      <c r="U221" s="14">
        <v>0</v>
      </c>
      <c r="V221" s="14">
        <v>0</v>
      </c>
      <c r="W221" s="13">
        <v>250000</v>
      </c>
    </row>
    <row r="222" spans="1:23" ht="19.5" customHeight="1">
      <c r="A222" s="12" t="s">
        <v>252</v>
      </c>
      <c r="B222" s="49" t="s">
        <v>522</v>
      </c>
      <c r="C222" s="14">
        <f t="shared" si="3"/>
        <v>2810850</v>
      </c>
      <c r="D222" s="13">
        <v>0</v>
      </c>
      <c r="E222" s="13">
        <v>0</v>
      </c>
      <c r="F222" s="14">
        <v>0</v>
      </c>
      <c r="G222" s="13">
        <v>0</v>
      </c>
      <c r="H222" s="13">
        <v>0</v>
      </c>
      <c r="I222" s="13">
        <v>0</v>
      </c>
      <c r="J222" s="36">
        <v>0</v>
      </c>
      <c r="K222" s="13">
        <v>0</v>
      </c>
      <c r="L222" s="13">
        <v>1850</v>
      </c>
      <c r="M222" s="13">
        <v>1666850</v>
      </c>
      <c r="N222" s="13">
        <v>0</v>
      </c>
      <c r="O222" s="13">
        <v>0</v>
      </c>
      <c r="P222" s="13">
        <v>1000</v>
      </c>
      <c r="Q222" s="13">
        <v>894000</v>
      </c>
      <c r="R222" s="14">
        <v>0</v>
      </c>
      <c r="S222" s="13">
        <v>0</v>
      </c>
      <c r="T222" s="13">
        <v>0</v>
      </c>
      <c r="U222" s="14">
        <v>0</v>
      </c>
      <c r="V222" s="14">
        <v>0</v>
      </c>
      <c r="W222" s="13">
        <v>250000</v>
      </c>
    </row>
    <row r="223" spans="1:23" ht="19.5" customHeight="1">
      <c r="A223" s="12" t="s">
        <v>253</v>
      </c>
      <c r="B223" s="49" t="s">
        <v>523</v>
      </c>
      <c r="C223" s="14">
        <f t="shared" si="3"/>
        <v>1819000</v>
      </c>
      <c r="D223" s="13">
        <v>0</v>
      </c>
      <c r="E223" s="13">
        <v>0</v>
      </c>
      <c r="F223" s="14">
        <v>0</v>
      </c>
      <c r="G223" s="13">
        <v>0</v>
      </c>
      <c r="H223" s="13">
        <v>0</v>
      </c>
      <c r="I223" s="13">
        <v>0</v>
      </c>
      <c r="J223" s="36">
        <v>0</v>
      </c>
      <c r="K223" s="13">
        <v>0</v>
      </c>
      <c r="L223" s="13">
        <v>740</v>
      </c>
      <c r="M223" s="13">
        <v>1369000</v>
      </c>
      <c r="N223" s="13">
        <v>0</v>
      </c>
      <c r="O223" s="13">
        <v>0</v>
      </c>
      <c r="P223" s="13">
        <v>200</v>
      </c>
      <c r="Q223" s="13">
        <v>200000</v>
      </c>
      <c r="R223" s="14">
        <v>0</v>
      </c>
      <c r="S223" s="13">
        <v>0</v>
      </c>
      <c r="T223" s="13">
        <v>0</v>
      </c>
      <c r="U223" s="14">
        <v>0</v>
      </c>
      <c r="V223" s="14">
        <v>0</v>
      </c>
      <c r="W223" s="13">
        <v>250000</v>
      </c>
    </row>
    <row r="224" spans="1:23" ht="19.5" customHeight="1">
      <c r="A224" s="12" t="s">
        <v>254</v>
      </c>
      <c r="B224" s="49" t="s">
        <v>524</v>
      </c>
      <c r="C224" s="14">
        <f t="shared" si="3"/>
        <v>2061850</v>
      </c>
      <c r="D224" s="13">
        <v>0</v>
      </c>
      <c r="E224" s="13">
        <v>0</v>
      </c>
      <c r="F224" s="14">
        <v>0</v>
      </c>
      <c r="G224" s="13">
        <v>0</v>
      </c>
      <c r="H224" s="13">
        <v>0</v>
      </c>
      <c r="I224" s="13">
        <v>0</v>
      </c>
      <c r="J224" s="36">
        <v>0</v>
      </c>
      <c r="K224" s="13">
        <v>0</v>
      </c>
      <c r="L224" s="13">
        <v>1850</v>
      </c>
      <c r="M224" s="13">
        <v>1111850</v>
      </c>
      <c r="N224" s="13">
        <v>0</v>
      </c>
      <c r="O224" s="13">
        <v>0</v>
      </c>
      <c r="P224" s="13">
        <v>1000</v>
      </c>
      <c r="Q224" s="13">
        <v>700000</v>
      </c>
      <c r="R224" s="14">
        <v>0</v>
      </c>
      <c r="S224" s="13">
        <v>0</v>
      </c>
      <c r="T224" s="13">
        <v>0</v>
      </c>
      <c r="U224" s="14">
        <v>0</v>
      </c>
      <c r="V224" s="14">
        <v>0</v>
      </c>
      <c r="W224" s="13">
        <v>250000</v>
      </c>
    </row>
    <row r="225" spans="1:23" ht="19.5" customHeight="1">
      <c r="A225" s="12" t="s">
        <v>593</v>
      </c>
      <c r="B225" s="49" t="s">
        <v>525</v>
      </c>
      <c r="C225" s="14">
        <f t="shared" si="3"/>
        <v>2019000</v>
      </c>
      <c r="D225" s="13">
        <v>0</v>
      </c>
      <c r="E225" s="13">
        <v>0</v>
      </c>
      <c r="F225" s="14">
        <v>0</v>
      </c>
      <c r="G225" s="13">
        <v>0</v>
      </c>
      <c r="H225" s="13">
        <v>0</v>
      </c>
      <c r="I225" s="13">
        <v>0</v>
      </c>
      <c r="J225" s="36">
        <v>0</v>
      </c>
      <c r="K225" s="13">
        <v>0</v>
      </c>
      <c r="L225" s="13">
        <v>740</v>
      </c>
      <c r="M225" s="13">
        <v>1369000</v>
      </c>
      <c r="N225" s="13">
        <v>0</v>
      </c>
      <c r="O225" s="13">
        <v>0</v>
      </c>
      <c r="P225" s="13">
        <v>400</v>
      </c>
      <c r="Q225" s="13">
        <v>400000</v>
      </c>
      <c r="R225" s="14">
        <v>0</v>
      </c>
      <c r="S225" s="13">
        <v>0</v>
      </c>
      <c r="T225" s="13">
        <v>0</v>
      </c>
      <c r="U225" s="14">
        <v>0</v>
      </c>
      <c r="V225" s="14">
        <v>0</v>
      </c>
      <c r="W225" s="13">
        <v>250000</v>
      </c>
    </row>
    <row r="226" spans="1:23" ht="19.5" customHeight="1">
      <c r="A226" s="12" t="s">
        <v>594</v>
      </c>
      <c r="B226" s="49" t="s">
        <v>526</v>
      </c>
      <c r="C226" s="14">
        <f t="shared" si="3"/>
        <v>3433550</v>
      </c>
      <c r="D226" s="13">
        <v>0</v>
      </c>
      <c r="E226" s="13">
        <v>0</v>
      </c>
      <c r="F226" s="14">
        <v>0</v>
      </c>
      <c r="G226" s="13">
        <v>0</v>
      </c>
      <c r="H226" s="13">
        <v>0</v>
      </c>
      <c r="I226" s="13">
        <v>0</v>
      </c>
      <c r="J226" s="36">
        <v>0</v>
      </c>
      <c r="K226" s="13">
        <v>0</v>
      </c>
      <c r="L226" s="13">
        <v>1850</v>
      </c>
      <c r="M226" s="13">
        <v>2373550</v>
      </c>
      <c r="N226" s="13">
        <v>0</v>
      </c>
      <c r="O226" s="13">
        <v>0</v>
      </c>
      <c r="P226" s="13">
        <v>1000</v>
      </c>
      <c r="Q226" s="13">
        <v>810000</v>
      </c>
      <c r="R226" s="14">
        <v>0</v>
      </c>
      <c r="S226" s="13">
        <v>0</v>
      </c>
      <c r="T226" s="13">
        <v>0</v>
      </c>
      <c r="U226" s="14">
        <v>0</v>
      </c>
      <c r="V226" s="14">
        <v>0</v>
      </c>
      <c r="W226" s="13">
        <v>250000</v>
      </c>
    </row>
    <row r="227" spans="1:23" ht="19.5" customHeight="1">
      <c r="A227" s="12" t="s">
        <v>255</v>
      </c>
      <c r="B227" s="49" t="s">
        <v>527</v>
      </c>
      <c r="C227" s="14">
        <f t="shared" si="3"/>
        <v>2888300</v>
      </c>
      <c r="D227" s="13">
        <v>0</v>
      </c>
      <c r="E227" s="13">
        <v>0</v>
      </c>
      <c r="F227" s="14">
        <v>0</v>
      </c>
      <c r="G227" s="13">
        <v>0</v>
      </c>
      <c r="H227" s="13">
        <v>0</v>
      </c>
      <c r="I227" s="13">
        <v>0</v>
      </c>
      <c r="J227" s="36">
        <v>0</v>
      </c>
      <c r="K227" s="13">
        <v>0</v>
      </c>
      <c r="L227" s="13">
        <v>1850</v>
      </c>
      <c r="M227" s="13">
        <v>2179300</v>
      </c>
      <c r="N227" s="13">
        <v>0</v>
      </c>
      <c r="O227" s="13">
        <v>0</v>
      </c>
      <c r="P227" s="13">
        <v>1000</v>
      </c>
      <c r="Q227" s="13">
        <v>459000</v>
      </c>
      <c r="R227" s="14">
        <v>0</v>
      </c>
      <c r="S227" s="13">
        <v>0</v>
      </c>
      <c r="T227" s="13">
        <v>0</v>
      </c>
      <c r="U227" s="14">
        <v>0</v>
      </c>
      <c r="V227" s="14">
        <v>0</v>
      </c>
      <c r="W227" s="13">
        <v>250000</v>
      </c>
    </row>
    <row r="228" spans="1:23" ht="19.5" customHeight="1">
      <c r="A228" s="12" t="s">
        <v>256</v>
      </c>
      <c r="B228" s="49" t="s">
        <v>528</v>
      </c>
      <c r="C228" s="14">
        <f t="shared" si="3"/>
        <v>4696650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36">
        <v>0</v>
      </c>
      <c r="K228" s="13">
        <v>0</v>
      </c>
      <c r="L228" s="13">
        <v>1809</v>
      </c>
      <c r="M228" s="13">
        <v>3346650</v>
      </c>
      <c r="N228" s="13">
        <v>0</v>
      </c>
      <c r="O228" s="13">
        <v>0</v>
      </c>
      <c r="P228" s="13">
        <v>1100</v>
      </c>
      <c r="Q228" s="13">
        <v>1100000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250000</v>
      </c>
    </row>
    <row r="229" spans="1:23" ht="19.5" customHeight="1">
      <c r="A229" s="12" t="s">
        <v>257</v>
      </c>
      <c r="B229" s="53" t="s">
        <v>529</v>
      </c>
      <c r="C229" s="14">
        <f t="shared" si="3"/>
        <v>2133681</v>
      </c>
      <c r="D229" s="13">
        <v>0</v>
      </c>
      <c r="E229" s="13">
        <v>0</v>
      </c>
      <c r="F229" s="14">
        <v>0</v>
      </c>
      <c r="G229" s="13">
        <v>0</v>
      </c>
      <c r="H229" s="13">
        <v>0</v>
      </c>
      <c r="I229" s="13">
        <v>0</v>
      </c>
      <c r="J229" s="36">
        <v>0</v>
      </c>
      <c r="K229" s="13">
        <v>0</v>
      </c>
      <c r="L229" s="13">
        <v>373.6</v>
      </c>
      <c r="M229" s="13">
        <v>437019</v>
      </c>
      <c r="N229" s="13">
        <v>0</v>
      </c>
      <c r="O229" s="13">
        <v>0</v>
      </c>
      <c r="P229" s="13">
        <v>439.3</v>
      </c>
      <c r="Q229" s="13">
        <v>1446662</v>
      </c>
      <c r="R229" s="14">
        <v>0</v>
      </c>
      <c r="S229" s="13">
        <v>0</v>
      </c>
      <c r="T229" s="13">
        <v>0</v>
      </c>
      <c r="U229" s="14">
        <v>0</v>
      </c>
      <c r="V229" s="14">
        <v>0</v>
      </c>
      <c r="W229" s="13">
        <v>250000</v>
      </c>
    </row>
    <row r="230" spans="1:23" ht="19.5" customHeight="1">
      <c r="A230" s="12" t="s">
        <v>258</v>
      </c>
      <c r="B230" s="49" t="s">
        <v>530</v>
      </c>
      <c r="C230" s="14">
        <f t="shared" si="3"/>
        <v>5315728</v>
      </c>
      <c r="D230" s="13">
        <v>0</v>
      </c>
      <c r="E230" s="13">
        <v>0</v>
      </c>
      <c r="F230" s="14">
        <v>0</v>
      </c>
      <c r="G230" s="13">
        <v>0</v>
      </c>
      <c r="H230" s="13">
        <v>0</v>
      </c>
      <c r="I230" s="13">
        <v>0</v>
      </c>
      <c r="J230" s="36">
        <v>0</v>
      </c>
      <c r="K230" s="13">
        <v>0</v>
      </c>
      <c r="L230" s="13">
        <v>1049.1</v>
      </c>
      <c r="M230" s="13">
        <v>1140059</v>
      </c>
      <c r="N230" s="13">
        <v>0</v>
      </c>
      <c r="O230" s="13">
        <v>0</v>
      </c>
      <c r="P230" s="13">
        <v>1187</v>
      </c>
      <c r="Q230" s="13">
        <v>3925669</v>
      </c>
      <c r="R230" s="14">
        <v>0</v>
      </c>
      <c r="S230" s="13">
        <v>0</v>
      </c>
      <c r="T230" s="13">
        <v>0</v>
      </c>
      <c r="U230" s="14">
        <v>0</v>
      </c>
      <c r="V230" s="14">
        <v>0</v>
      </c>
      <c r="W230" s="13">
        <v>250000</v>
      </c>
    </row>
    <row r="231" spans="1:23" ht="19.5" customHeight="1">
      <c r="A231" s="12" t="s">
        <v>259</v>
      </c>
      <c r="B231" s="49" t="s">
        <v>531</v>
      </c>
      <c r="C231" s="14">
        <f t="shared" si="3"/>
        <v>2902350</v>
      </c>
      <c r="D231" s="13">
        <v>0</v>
      </c>
      <c r="E231" s="13">
        <v>0</v>
      </c>
      <c r="F231" s="14">
        <v>0</v>
      </c>
      <c r="G231" s="13">
        <v>0</v>
      </c>
      <c r="H231" s="13">
        <v>0</v>
      </c>
      <c r="I231" s="13">
        <v>0</v>
      </c>
      <c r="J231" s="36">
        <v>0</v>
      </c>
      <c r="K231" s="13">
        <v>0</v>
      </c>
      <c r="L231" s="13">
        <v>1850</v>
      </c>
      <c r="M231" s="13">
        <v>1796350</v>
      </c>
      <c r="N231" s="13">
        <v>0</v>
      </c>
      <c r="O231" s="13">
        <v>0</v>
      </c>
      <c r="P231" s="13">
        <v>1000</v>
      </c>
      <c r="Q231" s="13">
        <v>856000</v>
      </c>
      <c r="R231" s="14">
        <v>0</v>
      </c>
      <c r="S231" s="13">
        <v>0</v>
      </c>
      <c r="T231" s="13">
        <v>0</v>
      </c>
      <c r="U231" s="14">
        <v>0</v>
      </c>
      <c r="V231" s="14">
        <v>0</v>
      </c>
      <c r="W231" s="13">
        <v>250000</v>
      </c>
    </row>
    <row r="232" spans="1:23" ht="19.5" customHeight="1">
      <c r="A232" s="12" t="s">
        <v>260</v>
      </c>
      <c r="B232" s="50" t="s">
        <v>324</v>
      </c>
      <c r="C232" s="14">
        <f t="shared" si="3"/>
        <v>250000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36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250000</v>
      </c>
    </row>
    <row r="233" spans="1:23" ht="19.5" customHeight="1">
      <c r="A233" s="12" t="s">
        <v>261</v>
      </c>
      <c r="B233" s="49" t="s">
        <v>532</v>
      </c>
      <c r="C233" s="14">
        <f t="shared" si="3"/>
        <v>1861300</v>
      </c>
      <c r="D233" s="13">
        <v>0</v>
      </c>
      <c r="E233" s="13">
        <v>0</v>
      </c>
      <c r="F233" s="14">
        <v>0</v>
      </c>
      <c r="G233" s="13">
        <v>0</v>
      </c>
      <c r="H233" s="13">
        <v>0</v>
      </c>
      <c r="I233" s="13">
        <v>0</v>
      </c>
      <c r="J233" s="36">
        <v>0</v>
      </c>
      <c r="K233" s="13">
        <v>0</v>
      </c>
      <c r="L233" s="13">
        <v>1850</v>
      </c>
      <c r="M233" s="13">
        <v>1143300</v>
      </c>
      <c r="N233" s="13">
        <v>0</v>
      </c>
      <c r="O233" s="13">
        <v>0</v>
      </c>
      <c r="P233" s="13">
        <v>1000</v>
      </c>
      <c r="Q233" s="13">
        <v>468000</v>
      </c>
      <c r="R233" s="14">
        <v>0</v>
      </c>
      <c r="S233" s="13">
        <v>0</v>
      </c>
      <c r="T233" s="13">
        <v>0</v>
      </c>
      <c r="U233" s="14">
        <v>0</v>
      </c>
      <c r="V233" s="14">
        <v>0</v>
      </c>
      <c r="W233" s="13">
        <v>250000</v>
      </c>
    </row>
    <row r="234" spans="1:23" ht="19.5" customHeight="1">
      <c r="A234" s="12" t="s">
        <v>262</v>
      </c>
      <c r="B234" s="50" t="s">
        <v>325</v>
      </c>
      <c r="C234" s="14">
        <f t="shared" si="3"/>
        <v>250000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36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250000</v>
      </c>
    </row>
    <row r="235" spans="1:23" ht="19.5" customHeight="1">
      <c r="A235" s="12" t="s">
        <v>263</v>
      </c>
      <c r="B235" s="49" t="s">
        <v>533</v>
      </c>
      <c r="C235" s="14">
        <f t="shared" si="3"/>
        <v>781714</v>
      </c>
      <c r="D235" s="13">
        <v>0</v>
      </c>
      <c r="E235" s="13">
        <v>0</v>
      </c>
      <c r="F235" s="14">
        <v>0</v>
      </c>
      <c r="G235" s="13">
        <v>0</v>
      </c>
      <c r="H235" s="13">
        <v>0</v>
      </c>
      <c r="I235" s="13">
        <v>0</v>
      </c>
      <c r="J235" s="36">
        <v>0</v>
      </c>
      <c r="K235" s="13">
        <v>0</v>
      </c>
      <c r="L235" s="13">
        <v>450</v>
      </c>
      <c r="M235" s="13">
        <v>781714</v>
      </c>
      <c r="N235" s="13">
        <v>0</v>
      </c>
      <c r="O235" s="13">
        <v>0</v>
      </c>
      <c r="P235" s="13">
        <v>0</v>
      </c>
      <c r="Q235" s="13">
        <v>0</v>
      </c>
      <c r="R235" s="14">
        <v>0</v>
      </c>
      <c r="S235" s="13">
        <v>0</v>
      </c>
      <c r="T235" s="13">
        <v>0</v>
      </c>
      <c r="U235" s="14">
        <v>0</v>
      </c>
      <c r="V235" s="14">
        <v>0</v>
      </c>
      <c r="W235" s="13">
        <v>0</v>
      </c>
    </row>
    <row r="236" spans="1:23" ht="19.5" customHeight="1">
      <c r="A236" s="12" t="s">
        <v>264</v>
      </c>
      <c r="B236" s="51" t="s">
        <v>534</v>
      </c>
      <c r="C236" s="14">
        <f t="shared" si="3"/>
        <v>97959</v>
      </c>
      <c r="D236" s="13">
        <v>0</v>
      </c>
      <c r="E236" s="13">
        <v>0</v>
      </c>
      <c r="F236" s="14">
        <v>0</v>
      </c>
      <c r="G236" s="13">
        <v>0</v>
      </c>
      <c r="H236" s="13">
        <v>97959</v>
      </c>
      <c r="I236" s="13">
        <v>0</v>
      </c>
      <c r="J236" s="36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4">
        <v>0</v>
      </c>
      <c r="S236" s="13">
        <v>0</v>
      </c>
      <c r="T236" s="13">
        <v>0</v>
      </c>
      <c r="U236" s="14">
        <v>0</v>
      </c>
      <c r="V236" s="14">
        <v>0</v>
      </c>
      <c r="W236" s="13">
        <v>0</v>
      </c>
    </row>
    <row r="237" spans="1:23" ht="19.5" customHeight="1">
      <c r="A237" s="12" t="s">
        <v>595</v>
      </c>
      <c r="B237" s="49" t="s">
        <v>535</v>
      </c>
      <c r="C237" s="14">
        <f t="shared" si="3"/>
        <v>187960</v>
      </c>
      <c r="D237" s="13">
        <v>0</v>
      </c>
      <c r="E237" s="13">
        <v>0</v>
      </c>
      <c r="F237" s="14">
        <v>0</v>
      </c>
      <c r="G237" s="13">
        <v>0</v>
      </c>
      <c r="H237" s="13">
        <v>0</v>
      </c>
      <c r="I237" s="13">
        <v>0</v>
      </c>
      <c r="J237" s="36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4">
        <v>0</v>
      </c>
      <c r="S237" s="13">
        <v>0</v>
      </c>
      <c r="T237" s="13">
        <v>0</v>
      </c>
      <c r="U237" s="14">
        <v>0</v>
      </c>
      <c r="V237" s="14">
        <v>0</v>
      </c>
      <c r="W237" s="13">
        <v>187960</v>
      </c>
    </row>
    <row r="238" spans="1:23" ht="19.5" customHeight="1">
      <c r="A238" s="12" t="s">
        <v>596</v>
      </c>
      <c r="B238" s="49" t="s">
        <v>536</v>
      </c>
      <c r="C238" s="14">
        <f t="shared" si="3"/>
        <v>583382.6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36">
        <v>0</v>
      </c>
      <c r="K238" s="13">
        <v>0</v>
      </c>
      <c r="L238" s="13">
        <v>490.3</v>
      </c>
      <c r="M238" s="13">
        <v>583382.6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</row>
    <row r="239" spans="1:23" ht="19.5" customHeight="1">
      <c r="A239" s="12" t="s">
        <v>597</v>
      </c>
      <c r="B239" s="49" t="s">
        <v>537</v>
      </c>
      <c r="C239" s="14">
        <f t="shared" si="3"/>
        <v>960768.57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36">
        <v>0</v>
      </c>
      <c r="K239" s="13">
        <v>0</v>
      </c>
      <c r="L239" s="13">
        <v>953</v>
      </c>
      <c r="M239" s="13">
        <v>960768.57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</row>
    <row r="240" spans="1:23" ht="19.5" customHeight="1">
      <c r="A240" s="12" t="s">
        <v>265</v>
      </c>
      <c r="B240" s="50" t="s">
        <v>326</v>
      </c>
      <c r="C240" s="14">
        <f t="shared" si="3"/>
        <v>250000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36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250000</v>
      </c>
    </row>
    <row r="241" spans="1:23" ht="19.5" customHeight="1">
      <c r="A241" s="12" t="s">
        <v>266</v>
      </c>
      <c r="B241" s="49" t="s">
        <v>538</v>
      </c>
      <c r="C241" s="14">
        <f t="shared" si="3"/>
        <v>584471</v>
      </c>
      <c r="D241" s="13">
        <v>0</v>
      </c>
      <c r="E241" s="13">
        <v>0</v>
      </c>
      <c r="F241" s="14">
        <v>0</v>
      </c>
      <c r="G241" s="13">
        <v>0</v>
      </c>
      <c r="H241" s="13">
        <v>0</v>
      </c>
      <c r="I241" s="13">
        <v>0</v>
      </c>
      <c r="J241" s="36">
        <v>0</v>
      </c>
      <c r="K241" s="13">
        <v>0</v>
      </c>
      <c r="L241" s="14">
        <v>288</v>
      </c>
      <c r="M241" s="14">
        <v>334471</v>
      </c>
      <c r="N241" s="13">
        <v>0</v>
      </c>
      <c r="O241" s="13">
        <v>0</v>
      </c>
      <c r="P241" s="13">
        <v>0</v>
      </c>
      <c r="Q241" s="13">
        <v>0</v>
      </c>
      <c r="R241" s="14">
        <v>0</v>
      </c>
      <c r="S241" s="13">
        <v>0</v>
      </c>
      <c r="T241" s="13">
        <v>0</v>
      </c>
      <c r="U241" s="14">
        <v>0</v>
      </c>
      <c r="V241" s="14">
        <v>0</v>
      </c>
      <c r="W241" s="13">
        <v>250000</v>
      </c>
    </row>
    <row r="242" spans="1:23" ht="19.5" customHeight="1">
      <c r="A242" s="12" t="s">
        <v>267</v>
      </c>
      <c r="B242" s="50" t="s">
        <v>327</v>
      </c>
      <c r="C242" s="14">
        <f t="shared" si="3"/>
        <v>250000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36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250000</v>
      </c>
    </row>
    <row r="243" spans="1:23" ht="19.5" customHeight="1">
      <c r="A243" s="12" t="s">
        <v>268</v>
      </c>
      <c r="B243" s="49" t="s">
        <v>539</v>
      </c>
      <c r="C243" s="14">
        <f t="shared" si="3"/>
        <v>81532</v>
      </c>
      <c r="D243" s="13">
        <v>0</v>
      </c>
      <c r="E243" s="13">
        <v>0</v>
      </c>
      <c r="F243" s="14">
        <v>0</v>
      </c>
      <c r="G243" s="13">
        <v>0</v>
      </c>
      <c r="H243" s="13">
        <v>0</v>
      </c>
      <c r="I243" s="13">
        <v>0</v>
      </c>
      <c r="J243" s="36">
        <v>0</v>
      </c>
      <c r="K243" s="13">
        <v>0</v>
      </c>
      <c r="L243" s="13">
        <v>0</v>
      </c>
      <c r="M243" s="13">
        <v>0</v>
      </c>
      <c r="N243" s="13">
        <v>569.3</v>
      </c>
      <c r="O243" s="13">
        <v>81532</v>
      </c>
      <c r="P243" s="13">
        <v>0</v>
      </c>
      <c r="Q243" s="13">
        <v>0</v>
      </c>
      <c r="R243" s="14">
        <v>0</v>
      </c>
      <c r="S243" s="13">
        <v>0</v>
      </c>
      <c r="T243" s="13">
        <v>0</v>
      </c>
      <c r="U243" s="14">
        <v>0</v>
      </c>
      <c r="V243" s="14">
        <v>0</v>
      </c>
      <c r="W243" s="13">
        <v>0</v>
      </c>
    </row>
    <row r="244" spans="1:23" ht="19.5" customHeight="1">
      <c r="A244" s="12" t="s">
        <v>269</v>
      </c>
      <c r="B244" s="49" t="s">
        <v>540</v>
      </c>
      <c r="C244" s="14">
        <f t="shared" si="3"/>
        <v>2285000</v>
      </c>
      <c r="D244" s="13">
        <v>0</v>
      </c>
      <c r="E244" s="13">
        <v>0</v>
      </c>
      <c r="F244" s="14">
        <v>0</v>
      </c>
      <c r="G244" s="13">
        <v>0</v>
      </c>
      <c r="H244" s="13">
        <v>0</v>
      </c>
      <c r="I244" s="13">
        <v>0</v>
      </c>
      <c r="J244" s="36">
        <v>0</v>
      </c>
      <c r="K244" s="13">
        <v>0</v>
      </c>
      <c r="L244" s="14">
        <v>1100</v>
      </c>
      <c r="M244" s="14">
        <v>2035000</v>
      </c>
      <c r="N244" s="13">
        <v>0</v>
      </c>
      <c r="O244" s="13">
        <v>0</v>
      </c>
      <c r="P244" s="13">
        <v>0</v>
      </c>
      <c r="Q244" s="13">
        <v>0</v>
      </c>
      <c r="R244" s="14">
        <v>0</v>
      </c>
      <c r="S244" s="13">
        <v>0</v>
      </c>
      <c r="T244" s="13">
        <v>0</v>
      </c>
      <c r="U244" s="14">
        <v>0</v>
      </c>
      <c r="V244" s="14">
        <v>0</v>
      </c>
      <c r="W244" s="13">
        <v>250000</v>
      </c>
    </row>
    <row r="245" spans="1:23" ht="19.5" customHeight="1">
      <c r="A245" s="12" t="s">
        <v>270</v>
      </c>
      <c r="B245" s="49" t="s">
        <v>541</v>
      </c>
      <c r="C245" s="14">
        <f t="shared" si="3"/>
        <v>485307</v>
      </c>
      <c r="D245" s="13">
        <v>0</v>
      </c>
      <c r="E245" s="13">
        <v>0</v>
      </c>
      <c r="F245" s="14">
        <v>0</v>
      </c>
      <c r="G245" s="13">
        <v>250643</v>
      </c>
      <c r="H245" s="13">
        <v>234664</v>
      </c>
      <c r="I245" s="13">
        <v>0</v>
      </c>
      <c r="J245" s="36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4">
        <v>0</v>
      </c>
      <c r="S245" s="13">
        <v>0</v>
      </c>
      <c r="T245" s="13">
        <v>0</v>
      </c>
      <c r="U245" s="14">
        <v>0</v>
      </c>
      <c r="V245" s="14">
        <v>0</v>
      </c>
      <c r="W245" s="13">
        <v>0</v>
      </c>
    </row>
    <row r="246" spans="1:23" ht="19.5" customHeight="1">
      <c r="A246" s="12" t="s">
        <v>271</v>
      </c>
      <c r="B246" s="50" t="s">
        <v>328</v>
      </c>
      <c r="C246" s="14">
        <f t="shared" si="3"/>
        <v>250000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36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250000</v>
      </c>
    </row>
    <row r="247" spans="1:23" ht="19.5" customHeight="1">
      <c r="A247" s="12" t="s">
        <v>272</v>
      </c>
      <c r="B247" s="49" t="s">
        <v>542</v>
      </c>
      <c r="C247" s="14">
        <f t="shared" si="3"/>
        <v>427412.52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36">
        <v>0</v>
      </c>
      <c r="K247" s="13">
        <v>0</v>
      </c>
      <c r="L247" s="13">
        <v>460</v>
      </c>
      <c r="M247" s="13">
        <v>427412.52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</row>
    <row r="248" spans="1:23" ht="19.5" customHeight="1">
      <c r="A248" s="12" t="s">
        <v>273</v>
      </c>
      <c r="B248" s="51" t="s">
        <v>543</v>
      </c>
      <c r="C248" s="14">
        <f t="shared" si="3"/>
        <v>1424775.14</v>
      </c>
      <c r="D248" s="13">
        <v>0</v>
      </c>
      <c r="E248" s="13">
        <v>0</v>
      </c>
      <c r="F248" s="14">
        <v>0</v>
      </c>
      <c r="G248" s="13">
        <v>0</v>
      </c>
      <c r="H248" s="13">
        <v>0</v>
      </c>
      <c r="I248" s="13">
        <v>0</v>
      </c>
      <c r="J248" s="36">
        <v>1</v>
      </c>
      <c r="K248" s="13">
        <v>1350000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4">
        <v>0</v>
      </c>
      <c r="S248" s="13">
        <v>0</v>
      </c>
      <c r="T248" s="13">
        <v>0</v>
      </c>
      <c r="U248" s="14">
        <v>0</v>
      </c>
      <c r="V248" s="14">
        <v>0</v>
      </c>
      <c r="W248" s="13">
        <v>74775.14</v>
      </c>
    </row>
    <row r="249" spans="1:23" ht="19.5" customHeight="1">
      <c r="A249" s="12" t="s">
        <v>598</v>
      </c>
      <c r="B249" s="51" t="s">
        <v>544</v>
      </c>
      <c r="C249" s="14">
        <f t="shared" si="3"/>
        <v>1567634</v>
      </c>
      <c r="D249" s="13">
        <v>114095</v>
      </c>
      <c r="E249" s="13">
        <v>1203539</v>
      </c>
      <c r="F249" s="14">
        <v>0</v>
      </c>
      <c r="G249" s="13">
        <v>0</v>
      </c>
      <c r="H249" s="13">
        <v>0</v>
      </c>
      <c r="I249" s="13">
        <v>0</v>
      </c>
      <c r="J249" s="36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4">
        <v>0</v>
      </c>
      <c r="S249" s="13">
        <v>0</v>
      </c>
      <c r="T249" s="13">
        <v>0</v>
      </c>
      <c r="U249" s="14">
        <v>0</v>
      </c>
      <c r="V249" s="14">
        <v>0</v>
      </c>
      <c r="W249" s="13">
        <v>250000</v>
      </c>
    </row>
    <row r="250" spans="1:23" ht="19.5" customHeight="1">
      <c r="A250" s="12" t="s">
        <v>274</v>
      </c>
      <c r="B250" s="51" t="s">
        <v>545</v>
      </c>
      <c r="C250" s="14">
        <f t="shared" si="3"/>
        <v>7500000</v>
      </c>
      <c r="D250" s="13">
        <v>0</v>
      </c>
      <c r="E250" s="13">
        <v>0</v>
      </c>
      <c r="F250" s="14">
        <v>0</v>
      </c>
      <c r="G250" s="13">
        <v>0</v>
      </c>
      <c r="H250" s="13">
        <v>0</v>
      </c>
      <c r="I250" s="13">
        <v>0</v>
      </c>
      <c r="J250" s="36">
        <v>3</v>
      </c>
      <c r="K250" s="13">
        <v>7500000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4">
        <v>0</v>
      </c>
      <c r="S250" s="13">
        <v>0</v>
      </c>
      <c r="T250" s="13">
        <v>0</v>
      </c>
      <c r="U250" s="14">
        <v>0</v>
      </c>
      <c r="V250" s="14">
        <v>0</v>
      </c>
      <c r="W250" s="13">
        <v>0</v>
      </c>
    </row>
    <row r="251" spans="1:23" ht="19.5" customHeight="1">
      <c r="A251" s="12" t="s">
        <v>275</v>
      </c>
      <c r="B251" s="51" t="s">
        <v>546</v>
      </c>
      <c r="C251" s="14">
        <f t="shared" si="3"/>
        <v>1063248</v>
      </c>
      <c r="D251" s="13">
        <v>0</v>
      </c>
      <c r="E251" s="13">
        <v>0</v>
      </c>
      <c r="F251" s="14">
        <v>0</v>
      </c>
      <c r="G251" s="13">
        <v>0</v>
      </c>
      <c r="H251" s="13">
        <v>0</v>
      </c>
      <c r="I251" s="13">
        <v>0</v>
      </c>
      <c r="J251" s="36">
        <v>0</v>
      </c>
      <c r="K251" s="13">
        <v>0</v>
      </c>
      <c r="L251" s="13">
        <v>524</v>
      </c>
      <c r="M251" s="13">
        <v>813248</v>
      </c>
      <c r="N251" s="13">
        <v>0</v>
      </c>
      <c r="O251" s="13">
        <v>0</v>
      </c>
      <c r="P251" s="13">
        <v>0</v>
      </c>
      <c r="Q251" s="13">
        <v>0</v>
      </c>
      <c r="R251" s="14">
        <v>0</v>
      </c>
      <c r="S251" s="13">
        <v>0</v>
      </c>
      <c r="T251" s="13">
        <v>0</v>
      </c>
      <c r="U251" s="14">
        <v>0</v>
      </c>
      <c r="V251" s="14">
        <v>0</v>
      </c>
      <c r="W251" s="13">
        <v>250000</v>
      </c>
    </row>
    <row r="252" spans="1:23" ht="19.5" customHeight="1">
      <c r="A252" s="12" t="s">
        <v>617</v>
      </c>
      <c r="B252" s="51" t="s">
        <v>547</v>
      </c>
      <c r="C252" s="14">
        <f aca="true" t="shared" si="4" ref="C252:C280">D252+E252+F252+G252+H252+I252+K252+M252+O252+Q252+R252+T252+U252+V252+W252</f>
        <v>1357588</v>
      </c>
      <c r="D252" s="13">
        <v>0</v>
      </c>
      <c r="E252" s="13">
        <v>0</v>
      </c>
      <c r="F252" s="14">
        <v>0</v>
      </c>
      <c r="G252" s="13">
        <v>0</v>
      </c>
      <c r="H252" s="13">
        <v>0</v>
      </c>
      <c r="I252" s="13">
        <v>0</v>
      </c>
      <c r="J252" s="36">
        <v>0</v>
      </c>
      <c r="K252" s="13">
        <v>0</v>
      </c>
      <c r="L252" s="14">
        <v>618</v>
      </c>
      <c r="M252" s="14">
        <v>1107588</v>
      </c>
      <c r="N252" s="13">
        <v>0</v>
      </c>
      <c r="O252" s="13">
        <v>0</v>
      </c>
      <c r="P252" s="13">
        <v>0</v>
      </c>
      <c r="Q252" s="13">
        <v>0</v>
      </c>
      <c r="R252" s="14">
        <v>0</v>
      </c>
      <c r="S252" s="13">
        <v>0</v>
      </c>
      <c r="T252" s="13">
        <v>0</v>
      </c>
      <c r="U252" s="14">
        <v>0</v>
      </c>
      <c r="V252" s="14">
        <v>0</v>
      </c>
      <c r="W252" s="13">
        <v>250000</v>
      </c>
    </row>
    <row r="253" spans="1:23" ht="19.5" customHeight="1">
      <c r="A253" s="12" t="s">
        <v>276</v>
      </c>
      <c r="B253" s="49" t="s">
        <v>548</v>
      </c>
      <c r="C253" s="14">
        <f t="shared" si="4"/>
        <v>1603699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36">
        <v>0</v>
      </c>
      <c r="K253" s="13">
        <v>0</v>
      </c>
      <c r="L253" s="13">
        <v>520</v>
      </c>
      <c r="M253" s="13">
        <v>1603699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</row>
    <row r="254" spans="1:23" ht="19.5" customHeight="1">
      <c r="A254" s="12" t="s">
        <v>277</v>
      </c>
      <c r="B254" s="51" t="s">
        <v>549</v>
      </c>
      <c r="C254" s="14">
        <f t="shared" si="4"/>
        <v>500000</v>
      </c>
      <c r="D254" s="13">
        <v>0</v>
      </c>
      <c r="E254" s="13">
        <v>0</v>
      </c>
      <c r="F254" s="14">
        <v>0</v>
      </c>
      <c r="G254" s="13">
        <v>0</v>
      </c>
      <c r="H254" s="13">
        <v>500000</v>
      </c>
      <c r="I254" s="13">
        <v>0</v>
      </c>
      <c r="J254" s="36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4">
        <v>0</v>
      </c>
      <c r="S254" s="13">
        <v>0</v>
      </c>
      <c r="T254" s="13">
        <v>0</v>
      </c>
      <c r="U254" s="14">
        <v>0</v>
      </c>
      <c r="V254" s="14">
        <v>0</v>
      </c>
      <c r="W254" s="13">
        <v>0</v>
      </c>
    </row>
    <row r="255" spans="1:23" ht="19.5" customHeight="1">
      <c r="A255" s="12" t="s">
        <v>278</v>
      </c>
      <c r="B255" s="49" t="s">
        <v>550</v>
      </c>
      <c r="C255" s="14">
        <f t="shared" si="4"/>
        <v>987539.79</v>
      </c>
      <c r="D255" s="13">
        <v>0</v>
      </c>
      <c r="E255" s="13">
        <v>0</v>
      </c>
      <c r="F255" s="14">
        <v>0</v>
      </c>
      <c r="G255" s="13">
        <v>0</v>
      </c>
      <c r="H255" s="13">
        <v>0</v>
      </c>
      <c r="I255" s="13">
        <v>0</v>
      </c>
      <c r="J255" s="36">
        <v>0</v>
      </c>
      <c r="K255" s="13">
        <v>0</v>
      </c>
      <c r="L255" s="13">
        <v>670</v>
      </c>
      <c r="M255" s="13">
        <v>886402</v>
      </c>
      <c r="N255" s="13">
        <v>0</v>
      </c>
      <c r="O255" s="13">
        <v>0</v>
      </c>
      <c r="P255" s="13">
        <v>0</v>
      </c>
      <c r="Q255" s="13">
        <v>0</v>
      </c>
      <c r="R255" s="14">
        <v>0</v>
      </c>
      <c r="S255" s="13">
        <v>0</v>
      </c>
      <c r="T255" s="13">
        <v>0</v>
      </c>
      <c r="U255" s="14">
        <v>0</v>
      </c>
      <c r="V255" s="14">
        <v>0</v>
      </c>
      <c r="W255" s="13">
        <v>101137.79</v>
      </c>
    </row>
    <row r="256" spans="1:23" ht="19.5" customHeight="1">
      <c r="A256" s="12" t="s">
        <v>279</v>
      </c>
      <c r="B256" s="49" t="s">
        <v>551</v>
      </c>
      <c r="C256" s="14">
        <f t="shared" si="4"/>
        <v>1186748.46</v>
      </c>
      <c r="D256" s="13">
        <v>0</v>
      </c>
      <c r="E256" s="13">
        <v>0</v>
      </c>
      <c r="F256" s="14">
        <v>0</v>
      </c>
      <c r="G256" s="13">
        <v>0</v>
      </c>
      <c r="H256" s="13">
        <v>0</v>
      </c>
      <c r="I256" s="13">
        <v>0</v>
      </c>
      <c r="J256" s="36">
        <v>0</v>
      </c>
      <c r="K256" s="13">
        <v>0</v>
      </c>
      <c r="L256" s="13">
        <v>800</v>
      </c>
      <c r="M256" s="13">
        <v>1049219</v>
      </c>
      <c r="N256" s="13">
        <v>0</v>
      </c>
      <c r="O256" s="13">
        <v>0</v>
      </c>
      <c r="P256" s="13">
        <v>0</v>
      </c>
      <c r="Q256" s="13">
        <v>0</v>
      </c>
      <c r="R256" s="14">
        <v>0</v>
      </c>
      <c r="S256" s="13">
        <v>0</v>
      </c>
      <c r="T256" s="13">
        <v>0</v>
      </c>
      <c r="U256" s="14">
        <v>0</v>
      </c>
      <c r="V256" s="14">
        <v>0</v>
      </c>
      <c r="W256" s="13">
        <v>137529.46</v>
      </c>
    </row>
    <row r="257" spans="1:23" ht="19.5" customHeight="1">
      <c r="A257" s="12" t="s">
        <v>599</v>
      </c>
      <c r="B257" s="49" t="s">
        <v>552</v>
      </c>
      <c r="C257" s="14">
        <f t="shared" si="4"/>
        <v>791816.99</v>
      </c>
      <c r="D257" s="13">
        <v>0</v>
      </c>
      <c r="E257" s="13">
        <v>0</v>
      </c>
      <c r="F257" s="14">
        <v>0</v>
      </c>
      <c r="G257" s="13">
        <v>0</v>
      </c>
      <c r="H257" s="13">
        <v>0</v>
      </c>
      <c r="I257" s="13">
        <v>0</v>
      </c>
      <c r="J257" s="36">
        <v>0</v>
      </c>
      <c r="K257" s="13">
        <v>0</v>
      </c>
      <c r="L257" s="13">
        <v>670</v>
      </c>
      <c r="M257" s="13">
        <v>679162</v>
      </c>
      <c r="N257" s="13">
        <v>0</v>
      </c>
      <c r="O257" s="13">
        <v>0</v>
      </c>
      <c r="P257" s="13">
        <v>0</v>
      </c>
      <c r="Q257" s="13">
        <v>0</v>
      </c>
      <c r="R257" s="14">
        <v>0</v>
      </c>
      <c r="S257" s="13">
        <v>0</v>
      </c>
      <c r="T257" s="13">
        <v>0</v>
      </c>
      <c r="U257" s="14">
        <v>0</v>
      </c>
      <c r="V257" s="14">
        <v>0</v>
      </c>
      <c r="W257" s="13">
        <v>112654.99</v>
      </c>
    </row>
    <row r="258" spans="1:23" ht="19.5" customHeight="1">
      <c r="A258" s="12" t="s">
        <v>280</v>
      </c>
      <c r="B258" s="49" t="s">
        <v>553</v>
      </c>
      <c r="C258" s="14">
        <f t="shared" si="4"/>
        <v>991172.28</v>
      </c>
      <c r="D258" s="13">
        <v>0</v>
      </c>
      <c r="E258" s="13">
        <v>0</v>
      </c>
      <c r="F258" s="14">
        <v>0</v>
      </c>
      <c r="G258" s="13">
        <v>0</v>
      </c>
      <c r="H258" s="13">
        <v>0</v>
      </c>
      <c r="I258" s="13">
        <v>0</v>
      </c>
      <c r="J258" s="36">
        <v>0</v>
      </c>
      <c r="K258" s="13">
        <v>0</v>
      </c>
      <c r="L258" s="13">
        <v>670</v>
      </c>
      <c r="M258" s="13">
        <v>886402</v>
      </c>
      <c r="N258" s="13">
        <v>0</v>
      </c>
      <c r="O258" s="13">
        <v>0</v>
      </c>
      <c r="P258" s="13">
        <v>0</v>
      </c>
      <c r="Q258" s="13">
        <v>0</v>
      </c>
      <c r="R258" s="14">
        <v>0</v>
      </c>
      <c r="S258" s="13">
        <v>0</v>
      </c>
      <c r="T258" s="13">
        <v>0</v>
      </c>
      <c r="U258" s="14">
        <v>0</v>
      </c>
      <c r="V258" s="14">
        <v>0</v>
      </c>
      <c r="W258" s="13">
        <v>104770.28</v>
      </c>
    </row>
    <row r="259" spans="1:23" ht="19.5" customHeight="1">
      <c r="A259" s="12" t="s">
        <v>281</v>
      </c>
      <c r="B259" s="49" t="s">
        <v>554</v>
      </c>
      <c r="C259" s="14">
        <f t="shared" si="4"/>
        <v>1186748.46</v>
      </c>
      <c r="D259" s="13">
        <v>0</v>
      </c>
      <c r="E259" s="13">
        <v>0</v>
      </c>
      <c r="F259" s="14">
        <v>0</v>
      </c>
      <c r="G259" s="13">
        <v>0</v>
      </c>
      <c r="H259" s="13">
        <v>0</v>
      </c>
      <c r="I259" s="13">
        <v>0</v>
      </c>
      <c r="J259" s="36">
        <v>0</v>
      </c>
      <c r="K259" s="13">
        <v>0</v>
      </c>
      <c r="L259" s="13">
        <v>815.4</v>
      </c>
      <c r="M259" s="13">
        <v>1049219</v>
      </c>
      <c r="N259" s="13">
        <v>0</v>
      </c>
      <c r="O259" s="13">
        <v>0</v>
      </c>
      <c r="P259" s="13">
        <v>0</v>
      </c>
      <c r="Q259" s="13">
        <v>0</v>
      </c>
      <c r="R259" s="14">
        <v>0</v>
      </c>
      <c r="S259" s="13">
        <v>0</v>
      </c>
      <c r="T259" s="13">
        <v>0</v>
      </c>
      <c r="U259" s="14">
        <v>0</v>
      </c>
      <c r="V259" s="14">
        <v>0</v>
      </c>
      <c r="W259" s="13">
        <v>137529.46</v>
      </c>
    </row>
    <row r="260" spans="1:23" ht="19.5" customHeight="1">
      <c r="A260" s="12" t="s">
        <v>282</v>
      </c>
      <c r="B260" s="49" t="s">
        <v>555</v>
      </c>
      <c r="C260" s="14">
        <f t="shared" si="4"/>
        <v>1152064.93</v>
      </c>
      <c r="D260" s="13">
        <v>0</v>
      </c>
      <c r="E260" s="13">
        <v>0</v>
      </c>
      <c r="F260" s="14">
        <v>0</v>
      </c>
      <c r="G260" s="13">
        <v>0</v>
      </c>
      <c r="H260" s="13">
        <v>0</v>
      </c>
      <c r="I260" s="13">
        <v>0</v>
      </c>
      <c r="J260" s="36">
        <v>0</v>
      </c>
      <c r="K260" s="13">
        <v>0</v>
      </c>
      <c r="L260" s="13">
        <v>905</v>
      </c>
      <c r="M260" s="13">
        <v>952764</v>
      </c>
      <c r="N260" s="13">
        <v>0</v>
      </c>
      <c r="O260" s="13">
        <v>0</v>
      </c>
      <c r="P260" s="13">
        <v>0</v>
      </c>
      <c r="Q260" s="13">
        <v>0</v>
      </c>
      <c r="R260" s="14">
        <v>0</v>
      </c>
      <c r="S260" s="13">
        <v>0</v>
      </c>
      <c r="T260" s="13">
        <v>0</v>
      </c>
      <c r="U260" s="14">
        <v>0</v>
      </c>
      <c r="V260" s="14">
        <v>0</v>
      </c>
      <c r="W260" s="13">
        <v>199300.93</v>
      </c>
    </row>
    <row r="261" spans="1:23" ht="19.5" customHeight="1">
      <c r="A261" s="12" t="s">
        <v>283</v>
      </c>
      <c r="B261" s="49" t="s">
        <v>556</v>
      </c>
      <c r="C261" s="14">
        <f t="shared" si="4"/>
        <v>1036056.52</v>
      </c>
      <c r="D261" s="13">
        <v>0</v>
      </c>
      <c r="E261" s="13">
        <v>0</v>
      </c>
      <c r="F261" s="14">
        <v>0</v>
      </c>
      <c r="G261" s="13">
        <v>0</v>
      </c>
      <c r="H261" s="13">
        <v>0</v>
      </c>
      <c r="I261" s="13">
        <v>0</v>
      </c>
      <c r="J261" s="36">
        <v>0</v>
      </c>
      <c r="K261" s="13">
        <v>0</v>
      </c>
      <c r="L261" s="14">
        <v>724.4</v>
      </c>
      <c r="M261" s="14">
        <v>1036056.52</v>
      </c>
      <c r="N261" s="13">
        <v>0</v>
      </c>
      <c r="O261" s="13">
        <v>0</v>
      </c>
      <c r="P261" s="13">
        <v>0</v>
      </c>
      <c r="Q261" s="13">
        <v>0</v>
      </c>
      <c r="R261" s="14">
        <v>0</v>
      </c>
      <c r="S261" s="13">
        <v>0</v>
      </c>
      <c r="T261" s="13">
        <v>0</v>
      </c>
      <c r="U261" s="14">
        <v>0</v>
      </c>
      <c r="V261" s="14">
        <v>0</v>
      </c>
      <c r="W261" s="13">
        <v>0</v>
      </c>
    </row>
    <row r="262" spans="1:23" ht="19.5" customHeight="1">
      <c r="A262" s="12" t="s">
        <v>284</v>
      </c>
      <c r="B262" s="49" t="s">
        <v>557</v>
      </c>
      <c r="C262" s="14">
        <f t="shared" si="4"/>
        <v>988078.9</v>
      </c>
      <c r="D262" s="13">
        <v>0</v>
      </c>
      <c r="E262" s="13">
        <v>0</v>
      </c>
      <c r="F262" s="14">
        <v>0</v>
      </c>
      <c r="G262" s="13">
        <v>0</v>
      </c>
      <c r="H262" s="13">
        <v>0</v>
      </c>
      <c r="I262" s="13">
        <v>0</v>
      </c>
      <c r="J262" s="36">
        <v>0</v>
      </c>
      <c r="K262" s="13">
        <v>0</v>
      </c>
      <c r="L262" s="13">
        <v>715.4</v>
      </c>
      <c r="M262" s="13">
        <v>988078.9</v>
      </c>
      <c r="N262" s="13">
        <v>0</v>
      </c>
      <c r="O262" s="13">
        <v>0</v>
      </c>
      <c r="P262" s="13">
        <v>0</v>
      </c>
      <c r="Q262" s="13">
        <v>0</v>
      </c>
      <c r="R262" s="14">
        <v>0</v>
      </c>
      <c r="S262" s="13">
        <v>0</v>
      </c>
      <c r="T262" s="13">
        <v>0</v>
      </c>
      <c r="U262" s="14">
        <v>0</v>
      </c>
      <c r="V262" s="14">
        <v>0</v>
      </c>
      <c r="W262" s="13">
        <v>0</v>
      </c>
    </row>
    <row r="263" spans="1:23" ht="19.5" customHeight="1">
      <c r="A263" s="12" t="s">
        <v>285</v>
      </c>
      <c r="B263" s="51" t="s">
        <v>558</v>
      </c>
      <c r="C263" s="14">
        <f t="shared" si="4"/>
        <v>687087</v>
      </c>
      <c r="D263" s="13">
        <v>0</v>
      </c>
      <c r="E263" s="13">
        <v>0</v>
      </c>
      <c r="F263" s="14">
        <v>0</v>
      </c>
      <c r="G263" s="14">
        <v>367935</v>
      </c>
      <c r="H263" s="14">
        <v>319152</v>
      </c>
      <c r="I263" s="13">
        <v>0</v>
      </c>
      <c r="J263" s="36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4">
        <v>0</v>
      </c>
      <c r="S263" s="13">
        <v>0</v>
      </c>
      <c r="T263" s="13">
        <v>0</v>
      </c>
      <c r="U263" s="14">
        <v>0</v>
      </c>
      <c r="V263" s="14">
        <v>0</v>
      </c>
      <c r="W263" s="13">
        <v>0</v>
      </c>
    </row>
    <row r="264" spans="1:23" ht="19.5" customHeight="1">
      <c r="A264" s="12" t="s">
        <v>286</v>
      </c>
      <c r="B264" s="51" t="s">
        <v>559</v>
      </c>
      <c r="C264" s="14">
        <f t="shared" si="4"/>
        <v>525881</v>
      </c>
      <c r="D264" s="13">
        <v>0</v>
      </c>
      <c r="E264" s="13">
        <v>0</v>
      </c>
      <c r="F264" s="14">
        <v>0</v>
      </c>
      <c r="G264" s="14">
        <v>367005</v>
      </c>
      <c r="H264" s="14">
        <v>158876</v>
      </c>
      <c r="I264" s="13">
        <v>0</v>
      </c>
      <c r="J264" s="36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4">
        <v>0</v>
      </c>
      <c r="S264" s="13">
        <v>0</v>
      </c>
      <c r="T264" s="13">
        <v>0</v>
      </c>
      <c r="U264" s="14">
        <v>0</v>
      </c>
      <c r="V264" s="14">
        <v>0</v>
      </c>
      <c r="W264" s="13">
        <v>0</v>
      </c>
    </row>
    <row r="265" spans="1:23" ht="19.5" customHeight="1">
      <c r="A265" s="12" t="s">
        <v>287</v>
      </c>
      <c r="B265" s="49" t="s">
        <v>560</v>
      </c>
      <c r="C265" s="14">
        <f t="shared" si="4"/>
        <v>2260267.7</v>
      </c>
      <c r="D265" s="13">
        <v>0</v>
      </c>
      <c r="E265" s="13">
        <v>2107556.7</v>
      </c>
      <c r="F265" s="14">
        <v>0</v>
      </c>
      <c r="G265" s="13">
        <v>0</v>
      </c>
      <c r="H265" s="13">
        <v>0</v>
      </c>
      <c r="I265" s="13">
        <v>0</v>
      </c>
      <c r="J265" s="36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4">
        <v>0</v>
      </c>
      <c r="S265" s="13">
        <v>0</v>
      </c>
      <c r="T265" s="13">
        <v>0</v>
      </c>
      <c r="U265" s="14">
        <v>0</v>
      </c>
      <c r="V265" s="14">
        <v>0</v>
      </c>
      <c r="W265" s="13">
        <v>152711</v>
      </c>
    </row>
    <row r="266" spans="1:23" ht="19.5" customHeight="1">
      <c r="A266" s="12" t="s">
        <v>288</v>
      </c>
      <c r="B266" s="49" t="s">
        <v>561</v>
      </c>
      <c r="C266" s="14">
        <f t="shared" si="4"/>
        <v>2515460</v>
      </c>
      <c r="D266" s="13">
        <v>0</v>
      </c>
      <c r="E266" s="13">
        <v>2363058</v>
      </c>
      <c r="F266" s="14">
        <v>0</v>
      </c>
      <c r="G266" s="13">
        <v>0</v>
      </c>
      <c r="H266" s="13">
        <v>0</v>
      </c>
      <c r="I266" s="13">
        <v>0</v>
      </c>
      <c r="J266" s="36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4">
        <v>0</v>
      </c>
      <c r="S266" s="13">
        <v>0</v>
      </c>
      <c r="T266" s="13">
        <v>0</v>
      </c>
      <c r="U266" s="14">
        <v>0</v>
      </c>
      <c r="V266" s="14">
        <v>0</v>
      </c>
      <c r="W266" s="13">
        <v>152402</v>
      </c>
    </row>
    <row r="267" spans="1:23" ht="19.5" customHeight="1">
      <c r="A267" s="12" t="s">
        <v>289</v>
      </c>
      <c r="B267" s="49" t="s">
        <v>562</v>
      </c>
      <c r="C267" s="14">
        <f t="shared" si="4"/>
        <v>2878319</v>
      </c>
      <c r="D267" s="13">
        <v>0</v>
      </c>
      <c r="E267" s="13">
        <v>2725623</v>
      </c>
      <c r="F267" s="14">
        <v>0</v>
      </c>
      <c r="G267" s="13">
        <v>0</v>
      </c>
      <c r="H267" s="13">
        <v>0</v>
      </c>
      <c r="I267" s="13">
        <v>0</v>
      </c>
      <c r="J267" s="36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4">
        <v>0</v>
      </c>
      <c r="S267" s="13">
        <v>0</v>
      </c>
      <c r="T267" s="13">
        <v>0</v>
      </c>
      <c r="U267" s="14">
        <v>0</v>
      </c>
      <c r="V267" s="14">
        <v>0</v>
      </c>
      <c r="W267" s="13">
        <v>152696</v>
      </c>
    </row>
    <row r="268" spans="1:23" ht="19.5" customHeight="1">
      <c r="A268" s="12" t="s">
        <v>600</v>
      </c>
      <c r="B268" s="49" t="s">
        <v>563</v>
      </c>
      <c r="C268" s="14">
        <f t="shared" si="4"/>
        <v>2600863</v>
      </c>
      <c r="D268" s="13">
        <v>0</v>
      </c>
      <c r="E268" s="13">
        <v>2448414</v>
      </c>
      <c r="F268" s="14">
        <v>0</v>
      </c>
      <c r="G268" s="13">
        <v>0</v>
      </c>
      <c r="H268" s="13">
        <v>0</v>
      </c>
      <c r="I268" s="13">
        <v>0</v>
      </c>
      <c r="J268" s="36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4">
        <v>0</v>
      </c>
      <c r="S268" s="13">
        <v>0</v>
      </c>
      <c r="T268" s="13">
        <v>0</v>
      </c>
      <c r="U268" s="14">
        <v>0</v>
      </c>
      <c r="V268" s="14">
        <v>0</v>
      </c>
      <c r="W268" s="13">
        <v>152449</v>
      </c>
    </row>
    <row r="269" spans="1:23" ht="19.5" customHeight="1">
      <c r="A269" s="12" t="s">
        <v>601</v>
      </c>
      <c r="B269" s="49" t="s">
        <v>564</v>
      </c>
      <c r="C269" s="14">
        <f t="shared" si="4"/>
        <v>1915738</v>
      </c>
      <c r="D269" s="13">
        <v>0</v>
      </c>
      <c r="E269" s="13">
        <v>0</v>
      </c>
      <c r="F269" s="14">
        <v>0</v>
      </c>
      <c r="G269" s="13">
        <v>0</v>
      </c>
      <c r="H269" s="13">
        <v>688872</v>
      </c>
      <c r="I269" s="13">
        <v>0</v>
      </c>
      <c r="J269" s="36">
        <v>0</v>
      </c>
      <c r="K269" s="13">
        <v>0</v>
      </c>
      <c r="L269" s="13">
        <v>1470</v>
      </c>
      <c r="M269" s="13">
        <v>1226866</v>
      </c>
      <c r="N269" s="13">
        <v>0</v>
      </c>
      <c r="O269" s="13">
        <v>0</v>
      </c>
      <c r="P269" s="13">
        <v>0</v>
      </c>
      <c r="Q269" s="13">
        <v>0</v>
      </c>
      <c r="R269" s="14">
        <v>0</v>
      </c>
      <c r="S269" s="13">
        <v>0</v>
      </c>
      <c r="T269" s="13">
        <v>0</v>
      </c>
      <c r="U269" s="14">
        <v>0</v>
      </c>
      <c r="V269" s="14">
        <v>0</v>
      </c>
      <c r="W269" s="13">
        <v>0</v>
      </c>
    </row>
    <row r="270" spans="1:23" ht="19.5" customHeight="1">
      <c r="A270" s="12" t="s">
        <v>290</v>
      </c>
      <c r="B270" s="53" t="s">
        <v>565</v>
      </c>
      <c r="C270" s="14">
        <f t="shared" si="4"/>
        <v>6890534</v>
      </c>
      <c r="D270" s="13">
        <v>0</v>
      </c>
      <c r="E270" s="13">
        <v>0</v>
      </c>
      <c r="F270" s="14">
        <v>0</v>
      </c>
      <c r="G270" s="13">
        <v>1394870</v>
      </c>
      <c r="H270" s="13">
        <v>0</v>
      </c>
      <c r="I270" s="13">
        <v>0</v>
      </c>
      <c r="J270" s="36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10287</v>
      </c>
      <c r="Q270" s="13">
        <v>5495664</v>
      </c>
      <c r="R270" s="14">
        <v>0</v>
      </c>
      <c r="S270" s="13">
        <v>0</v>
      </c>
      <c r="T270" s="13">
        <v>0</v>
      </c>
      <c r="U270" s="14">
        <v>0</v>
      </c>
      <c r="V270" s="14">
        <v>0</v>
      </c>
      <c r="W270" s="13">
        <v>0</v>
      </c>
    </row>
    <row r="271" spans="1:23" ht="19.5" customHeight="1">
      <c r="A271" s="12" t="s">
        <v>291</v>
      </c>
      <c r="B271" s="53" t="s">
        <v>566</v>
      </c>
      <c r="C271" s="14">
        <f t="shared" si="4"/>
        <v>1324076.82</v>
      </c>
      <c r="D271" s="13">
        <v>0</v>
      </c>
      <c r="E271" s="13">
        <v>0</v>
      </c>
      <c r="F271" s="14">
        <v>0</v>
      </c>
      <c r="G271" s="13">
        <v>0</v>
      </c>
      <c r="H271" s="13">
        <v>0</v>
      </c>
      <c r="I271" s="13">
        <v>0</v>
      </c>
      <c r="J271" s="36">
        <v>0</v>
      </c>
      <c r="K271" s="13">
        <v>0</v>
      </c>
      <c r="L271" s="13">
        <v>847.4</v>
      </c>
      <c r="M271" s="13">
        <v>1324076.82</v>
      </c>
      <c r="N271" s="13">
        <v>0</v>
      </c>
      <c r="O271" s="13">
        <v>0</v>
      </c>
      <c r="P271" s="13">
        <v>0</v>
      </c>
      <c r="Q271" s="13">
        <v>0</v>
      </c>
      <c r="R271" s="14">
        <v>0</v>
      </c>
      <c r="S271" s="13">
        <v>0</v>
      </c>
      <c r="T271" s="13">
        <v>0</v>
      </c>
      <c r="U271" s="14">
        <v>0</v>
      </c>
      <c r="V271" s="14">
        <v>0</v>
      </c>
      <c r="W271" s="13">
        <v>0</v>
      </c>
    </row>
    <row r="272" spans="1:23" ht="19.5" customHeight="1">
      <c r="A272" s="12" t="s">
        <v>336</v>
      </c>
      <c r="B272" s="54" t="s">
        <v>567</v>
      </c>
      <c r="C272" s="14">
        <f t="shared" si="4"/>
        <v>6303046</v>
      </c>
      <c r="D272" s="13">
        <v>0</v>
      </c>
      <c r="E272" s="13">
        <v>1426359</v>
      </c>
      <c r="F272" s="14">
        <v>0</v>
      </c>
      <c r="G272" s="13">
        <v>1095760</v>
      </c>
      <c r="H272" s="13">
        <v>1094243</v>
      </c>
      <c r="I272" s="13">
        <v>980807</v>
      </c>
      <c r="J272" s="36">
        <v>0</v>
      </c>
      <c r="K272" s="13">
        <v>0</v>
      </c>
      <c r="L272" s="13">
        <v>1150</v>
      </c>
      <c r="M272" s="13">
        <v>1705877</v>
      </c>
      <c r="N272" s="13">
        <v>0</v>
      </c>
      <c r="O272" s="13">
        <v>0</v>
      </c>
      <c r="P272" s="13">
        <v>0</v>
      </c>
      <c r="Q272" s="13">
        <v>0</v>
      </c>
      <c r="R272" s="14">
        <v>0</v>
      </c>
      <c r="S272" s="13">
        <v>0</v>
      </c>
      <c r="T272" s="13">
        <v>0</v>
      </c>
      <c r="U272" s="14">
        <v>0</v>
      </c>
      <c r="V272" s="14">
        <v>0</v>
      </c>
      <c r="W272" s="13">
        <v>0</v>
      </c>
    </row>
    <row r="273" spans="1:23" ht="19.5" customHeight="1">
      <c r="A273" s="12" t="s">
        <v>337</v>
      </c>
      <c r="B273" s="49" t="s">
        <v>568</v>
      </c>
      <c r="C273" s="14">
        <f t="shared" si="4"/>
        <v>1390816.44</v>
      </c>
      <c r="D273" s="13">
        <v>0</v>
      </c>
      <c r="E273" s="13">
        <v>0</v>
      </c>
      <c r="F273" s="14">
        <v>0</v>
      </c>
      <c r="G273" s="13">
        <v>0</v>
      </c>
      <c r="H273" s="13">
        <v>0</v>
      </c>
      <c r="I273" s="13">
        <v>0</v>
      </c>
      <c r="J273" s="36">
        <v>0</v>
      </c>
      <c r="K273" s="13">
        <v>0</v>
      </c>
      <c r="L273" s="13">
        <v>844.5</v>
      </c>
      <c r="M273" s="13">
        <v>1390816.44</v>
      </c>
      <c r="N273" s="13">
        <v>0</v>
      </c>
      <c r="O273" s="13">
        <v>0</v>
      </c>
      <c r="P273" s="13">
        <v>0</v>
      </c>
      <c r="Q273" s="13">
        <v>0</v>
      </c>
      <c r="R273" s="14">
        <v>0</v>
      </c>
      <c r="S273" s="13">
        <v>0</v>
      </c>
      <c r="T273" s="13">
        <v>0</v>
      </c>
      <c r="U273" s="14">
        <v>0</v>
      </c>
      <c r="V273" s="14">
        <v>0</v>
      </c>
      <c r="W273" s="13">
        <v>0</v>
      </c>
    </row>
    <row r="274" spans="1:23" ht="19.5" customHeight="1">
      <c r="A274" s="12" t="s">
        <v>338</v>
      </c>
      <c r="B274" s="49" t="s">
        <v>569</v>
      </c>
      <c r="C274" s="14">
        <f t="shared" si="4"/>
        <v>129277</v>
      </c>
      <c r="D274" s="13">
        <v>0</v>
      </c>
      <c r="E274" s="13">
        <v>0</v>
      </c>
      <c r="F274" s="14">
        <v>0</v>
      </c>
      <c r="G274" s="13">
        <v>52879</v>
      </c>
      <c r="H274" s="13">
        <v>76398</v>
      </c>
      <c r="I274" s="13">
        <v>0</v>
      </c>
      <c r="J274" s="36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4">
        <v>0</v>
      </c>
      <c r="S274" s="13">
        <v>0</v>
      </c>
      <c r="T274" s="13">
        <v>0</v>
      </c>
      <c r="U274" s="14">
        <v>0</v>
      </c>
      <c r="V274" s="14">
        <v>0</v>
      </c>
      <c r="W274" s="13">
        <v>0</v>
      </c>
    </row>
    <row r="275" spans="1:23" ht="19.5" customHeight="1">
      <c r="A275" s="12" t="s">
        <v>339</v>
      </c>
      <c r="B275" s="49" t="s">
        <v>570</v>
      </c>
      <c r="C275" s="14">
        <f t="shared" si="4"/>
        <v>543530</v>
      </c>
      <c r="D275" s="13">
        <v>0</v>
      </c>
      <c r="E275" s="13">
        <v>0</v>
      </c>
      <c r="F275" s="14">
        <v>0</v>
      </c>
      <c r="G275" s="13">
        <v>0</v>
      </c>
      <c r="H275" s="13">
        <v>0</v>
      </c>
      <c r="I275" s="13">
        <v>0</v>
      </c>
      <c r="J275" s="36">
        <v>0</v>
      </c>
      <c r="K275" s="13">
        <v>0</v>
      </c>
      <c r="L275" s="13">
        <v>418.1</v>
      </c>
      <c r="M275" s="13">
        <v>543530</v>
      </c>
      <c r="N275" s="13">
        <v>0</v>
      </c>
      <c r="O275" s="13">
        <v>0</v>
      </c>
      <c r="P275" s="13">
        <v>0</v>
      </c>
      <c r="Q275" s="13">
        <v>0</v>
      </c>
      <c r="R275" s="14">
        <v>0</v>
      </c>
      <c r="S275" s="13">
        <v>0</v>
      </c>
      <c r="T275" s="13">
        <v>0</v>
      </c>
      <c r="U275" s="14">
        <v>0</v>
      </c>
      <c r="V275" s="14">
        <v>0</v>
      </c>
      <c r="W275" s="13">
        <v>0</v>
      </c>
    </row>
    <row r="276" spans="1:23" ht="19.5" customHeight="1">
      <c r="A276" s="12" t="s">
        <v>340</v>
      </c>
      <c r="B276" s="49" t="s">
        <v>571</v>
      </c>
      <c r="C276" s="14">
        <f t="shared" si="4"/>
        <v>3219225.33</v>
      </c>
      <c r="D276" s="13">
        <v>0</v>
      </c>
      <c r="E276" s="13">
        <v>0</v>
      </c>
      <c r="F276" s="14">
        <v>0</v>
      </c>
      <c r="G276" s="13">
        <v>0</v>
      </c>
      <c r="H276" s="13">
        <v>0</v>
      </c>
      <c r="I276" s="13">
        <v>0</v>
      </c>
      <c r="J276" s="36">
        <v>2</v>
      </c>
      <c r="K276" s="13">
        <v>3136700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4">
        <v>0</v>
      </c>
      <c r="S276" s="13">
        <v>0</v>
      </c>
      <c r="T276" s="13">
        <v>0</v>
      </c>
      <c r="U276" s="14">
        <v>0</v>
      </c>
      <c r="V276" s="14">
        <v>0</v>
      </c>
      <c r="W276" s="13">
        <v>82525.33</v>
      </c>
    </row>
    <row r="277" spans="1:23" ht="19.5" customHeight="1">
      <c r="A277" s="12" t="s">
        <v>341</v>
      </c>
      <c r="B277" s="49" t="s">
        <v>572</v>
      </c>
      <c r="C277" s="14">
        <f t="shared" si="4"/>
        <v>612200</v>
      </c>
      <c r="D277" s="13">
        <v>0</v>
      </c>
      <c r="E277" s="13">
        <v>0</v>
      </c>
      <c r="F277" s="14">
        <v>0</v>
      </c>
      <c r="G277" s="13">
        <v>0</v>
      </c>
      <c r="H277" s="13">
        <v>0</v>
      </c>
      <c r="I277" s="13">
        <v>0</v>
      </c>
      <c r="J277" s="36">
        <v>0</v>
      </c>
      <c r="K277" s="13">
        <v>0</v>
      </c>
      <c r="L277" s="13">
        <v>580.5</v>
      </c>
      <c r="M277" s="13">
        <v>612200</v>
      </c>
      <c r="N277" s="13">
        <v>0</v>
      </c>
      <c r="O277" s="13">
        <v>0</v>
      </c>
      <c r="P277" s="13">
        <v>0</v>
      </c>
      <c r="Q277" s="13">
        <v>0</v>
      </c>
      <c r="R277" s="14">
        <v>0</v>
      </c>
      <c r="S277" s="13">
        <v>0</v>
      </c>
      <c r="T277" s="13">
        <v>0</v>
      </c>
      <c r="U277" s="14">
        <v>0</v>
      </c>
      <c r="V277" s="14">
        <v>0</v>
      </c>
      <c r="W277" s="13">
        <v>0</v>
      </c>
    </row>
    <row r="278" spans="1:23" ht="19.5" customHeight="1">
      <c r="A278" s="12" t="s">
        <v>342</v>
      </c>
      <c r="B278" s="10" t="s">
        <v>573</v>
      </c>
      <c r="C278" s="14">
        <f t="shared" si="4"/>
        <v>612200</v>
      </c>
      <c r="D278" s="13">
        <v>0</v>
      </c>
      <c r="E278" s="13">
        <v>0</v>
      </c>
      <c r="F278" s="14">
        <v>0</v>
      </c>
      <c r="G278" s="13">
        <v>0</v>
      </c>
      <c r="H278" s="13">
        <v>0</v>
      </c>
      <c r="I278" s="13">
        <v>0</v>
      </c>
      <c r="J278" s="36">
        <v>0</v>
      </c>
      <c r="K278" s="13">
        <v>0</v>
      </c>
      <c r="L278" s="13">
        <v>580.5</v>
      </c>
      <c r="M278" s="13">
        <v>612200</v>
      </c>
      <c r="N278" s="13">
        <v>0</v>
      </c>
      <c r="O278" s="13">
        <v>0</v>
      </c>
      <c r="P278" s="13">
        <v>0</v>
      </c>
      <c r="Q278" s="13">
        <v>0</v>
      </c>
      <c r="R278" s="14">
        <v>0</v>
      </c>
      <c r="S278" s="13">
        <v>0</v>
      </c>
      <c r="T278" s="13">
        <v>0</v>
      </c>
      <c r="U278" s="14">
        <v>0</v>
      </c>
      <c r="V278" s="14">
        <v>0</v>
      </c>
      <c r="W278" s="13">
        <v>0</v>
      </c>
    </row>
    <row r="279" spans="1:23" ht="19.5" customHeight="1">
      <c r="A279" s="12" t="s">
        <v>343</v>
      </c>
      <c r="B279" s="10" t="s">
        <v>574</v>
      </c>
      <c r="C279" s="14">
        <f t="shared" si="4"/>
        <v>475520</v>
      </c>
      <c r="D279" s="13">
        <v>0</v>
      </c>
      <c r="E279" s="13">
        <v>0</v>
      </c>
      <c r="F279" s="14">
        <v>0</v>
      </c>
      <c r="G279" s="13">
        <v>0</v>
      </c>
      <c r="H279" s="13">
        <v>0</v>
      </c>
      <c r="I279" s="13">
        <v>0</v>
      </c>
      <c r="J279" s="36">
        <v>0</v>
      </c>
      <c r="K279" s="13">
        <v>0</v>
      </c>
      <c r="L279" s="13">
        <v>577</v>
      </c>
      <c r="M279" s="13">
        <v>475520</v>
      </c>
      <c r="N279" s="13">
        <v>0</v>
      </c>
      <c r="O279" s="13">
        <v>0</v>
      </c>
      <c r="P279" s="13">
        <v>0</v>
      </c>
      <c r="Q279" s="13">
        <v>0</v>
      </c>
      <c r="R279" s="14">
        <v>0</v>
      </c>
      <c r="S279" s="13">
        <v>0</v>
      </c>
      <c r="T279" s="13">
        <v>0</v>
      </c>
      <c r="U279" s="14">
        <v>0</v>
      </c>
      <c r="V279" s="14">
        <v>0</v>
      </c>
      <c r="W279" s="13">
        <v>0</v>
      </c>
    </row>
    <row r="280" spans="1:23" ht="19.5" customHeight="1">
      <c r="A280" s="12" t="s">
        <v>344</v>
      </c>
      <c r="B280" s="10" t="s">
        <v>575</v>
      </c>
      <c r="C280" s="14">
        <f t="shared" si="4"/>
        <v>1368842.5</v>
      </c>
      <c r="D280" s="13">
        <v>0</v>
      </c>
      <c r="E280" s="13">
        <v>0</v>
      </c>
      <c r="F280" s="14">
        <v>0</v>
      </c>
      <c r="G280" s="13">
        <v>0</v>
      </c>
      <c r="H280" s="13">
        <v>0</v>
      </c>
      <c r="I280" s="13">
        <v>0</v>
      </c>
      <c r="J280" s="36">
        <v>0</v>
      </c>
      <c r="K280" s="13">
        <v>0</v>
      </c>
      <c r="L280" s="13">
        <v>834.1</v>
      </c>
      <c r="M280" s="13">
        <v>1368842.5</v>
      </c>
      <c r="N280" s="13">
        <v>0</v>
      </c>
      <c r="O280" s="13">
        <v>0</v>
      </c>
      <c r="P280" s="13">
        <v>0</v>
      </c>
      <c r="Q280" s="13">
        <v>0</v>
      </c>
      <c r="R280" s="14">
        <v>0</v>
      </c>
      <c r="S280" s="13">
        <v>0</v>
      </c>
      <c r="T280" s="13">
        <v>0</v>
      </c>
      <c r="U280" s="14">
        <v>0</v>
      </c>
      <c r="V280" s="14">
        <v>0</v>
      </c>
      <c r="W280" s="13">
        <v>0</v>
      </c>
    </row>
    <row r="281" spans="1:23" ht="19.5" customHeight="1">
      <c r="A281" s="83" t="s">
        <v>94</v>
      </c>
      <c r="B281" s="83"/>
      <c r="C281" s="14">
        <f aca="true" t="shared" si="5" ref="C281:W281">SUM(C11:C280)</f>
        <v>345161549.2599998</v>
      </c>
      <c r="D281" s="14">
        <f t="shared" si="5"/>
        <v>3916137.9699999997</v>
      </c>
      <c r="E281" s="14">
        <f t="shared" si="5"/>
        <v>25153604.16</v>
      </c>
      <c r="F281" s="14">
        <f t="shared" si="5"/>
        <v>0</v>
      </c>
      <c r="G281" s="14">
        <f t="shared" si="5"/>
        <v>11015520.46</v>
      </c>
      <c r="H281" s="14">
        <f t="shared" si="5"/>
        <v>14045086.479999999</v>
      </c>
      <c r="I281" s="14">
        <f t="shared" si="5"/>
        <v>1354507.6</v>
      </c>
      <c r="J281" s="14">
        <f t="shared" si="5"/>
        <v>20</v>
      </c>
      <c r="K281" s="14">
        <f t="shared" si="5"/>
        <v>32226864.39</v>
      </c>
      <c r="L281" s="14">
        <f t="shared" si="5"/>
        <v>122157.84999999998</v>
      </c>
      <c r="M281" s="14">
        <f t="shared" si="5"/>
        <v>169585921.22000003</v>
      </c>
      <c r="N281" s="14">
        <f t="shared" si="5"/>
        <v>569.3</v>
      </c>
      <c r="O281" s="14">
        <f t="shared" si="5"/>
        <v>81532</v>
      </c>
      <c r="P281" s="14">
        <f t="shared" si="5"/>
        <v>39085.4</v>
      </c>
      <c r="Q281" s="14">
        <f t="shared" si="5"/>
        <v>59545340.85</v>
      </c>
      <c r="R281" s="14">
        <f t="shared" si="5"/>
        <v>0</v>
      </c>
      <c r="S281" s="14">
        <f t="shared" si="5"/>
        <v>0</v>
      </c>
      <c r="T281" s="14">
        <f t="shared" si="5"/>
        <v>0</v>
      </c>
      <c r="U281" s="14">
        <f t="shared" si="5"/>
        <v>0</v>
      </c>
      <c r="V281" s="14">
        <f t="shared" si="5"/>
        <v>0</v>
      </c>
      <c r="W281" s="14">
        <f t="shared" si="5"/>
        <v>28237034.13</v>
      </c>
    </row>
    <row r="282" spans="1:23" ht="15" customHeight="1">
      <c r="A282" s="31"/>
      <c r="B282" s="31"/>
      <c r="C282" s="32"/>
      <c r="D282" s="32"/>
      <c r="E282" s="32"/>
      <c r="F282" s="32"/>
      <c r="G282" s="32"/>
      <c r="H282" s="32"/>
      <c r="I282" s="32"/>
      <c r="J282" s="33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</row>
    <row r="283" ht="15">
      <c r="C283" s="47"/>
    </row>
    <row r="286" spans="1:23" ht="15">
      <c r="A286" s="29"/>
      <c r="F286" s="40"/>
      <c r="G286" s="40"/>
      <c r="H286" s="40"/>
      <c r="I286" s="40"/>
      <c r="J286" s="27"/>
      <c r="K286" s="27"/>
      <c r="N286" s="27"/>
      <c r="V286" s="75" t="s">
        <v>194</v>
      </c>
      <c r="W286" s="75"/>
    </row>
    <row r="287" spans="1:14" ht="15">
      <c r="A287" s="29"/>
      <c r="F287" s="41"/>
      <c r="G287" s="41"/>
      <c r="H287" s="41"/>
      <c r="I287" s="41"/>
      <c r="J287" s="41"/>
      <c r="K287" s="41"/>
      <c r="L287" s="41"/>
      <c r="M287" s="81"/>
      <c r="N287" s="81"/>
    </row>
    <row r="288" spans="1:14" ht="15">
      <c r="A288" s="29"/>
      <c r="F288" s="41"/>
      <c r="G288" s="41"/>
      <c r="H288" s="41"/>
      <c r="I288" s="41"/>
      <c r="J288" s="41"/>
      <c r="K288" s="41"/>
      <c r="L288" s="41"/>
      <c r="M288" s="43"/>
      <c r="N288" s="43"/>
    </row>
    <row r="289" spans="1:14" ht="15">
      <c r="A289" s="29"/>
      <c r="F289" s="41"/>
      <c r="G289" s="41"/>
      <c r="H289" s="41"/>
      <c r="I289" s="41"/>
      <c r="J289" s="41"/>
      <c r="K289" s="41"/>
      <c r="L289" s="41"/>
      <c r="M289" s="43"/>
      <c r="N289" s="43"/>
    </row>
    <row r="290" spans="1:23" ht="15.75" customHeight="1">
      <c r="A290" s="61" t="s">
        <v>195</v>
      </c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</row>
    <row r="291" spans="1:14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23" s="35" customFormat="1" ht="15.75" customHeight="1">
      <c r="A292" s="58" t="s">
        <v>0</v>
      </c>
      <c r="B292" s="58" t="s">
        <v>196</v>
      </c>
      <c r="C292" s="58"/>
      <c r="D292" s="58"/>
      <c r="E292" s="84" t="s">
        <v>91</v>
      </c>
      <c r="F292" s="85"/>
      <c r="G292" s="84" t="s">
        <v>6</v>
      </c>
      <c r="H292" s="85"/>
      <c r="I292" s="58" t="s">
        <v>197</v>
      </c>
      <c r="J292" s="58"/>
      <c r="K292" s="58"/>
      <c r="L292" s="58"/>
      <c r="M292" s="58"/>
      <c r="N292" s="58"/>
      <c r="O292" s="58"/>
      <c r="P292" s="58" t="s">
        <v>198</v>
      </c>
      <c r="Q292" s="58"/>
      <c r="R292" s="58"/>
      <c r="S292" s="58"/>
      <c r="T292" s="58"/>
      <c r="U292" s="58"/>
      <c r="V292" s="58"/>
      <c r="W292" s="58"/>
    </row>
    <row r="293" spans="1:23" s="35" customFormat="1" ht="47.25" customHeight="1">
      <c r="A293" s="58"/>
      <c r="B293" s="58"/>
      <c r="C293" s="58"/>
      <c r="D293" s="58"/>
      <c r="E293" s="86"/>
      <c r="F293" s="87"/>
      <c r="G293" s="86"/>
      <c r="H293" s="87"/>
      <c r="I293" s="58" t="s">
        <v>199</v>
      </c>
      <c r="J293" s="58"/>
      <c r="K293" s="25" t="s">
        <v>200</v>
      </c>
      <c r="L293" s="25" t="s">
        <v>201</v>
      </c>
      <c r="M293" s="25" t="s">
        <v>202</v>
      </c>
      <c r="N293" s="58" t="s">
        <v>92</v>
      </c>
      <c r="O293" s="58"/>
      <c r="P293" s="58" t="s">
        <v>199</v>
      </c>
      <c r="Q293" s="58"/>
      <c r="R293" s="25" t="s">
        <v>200</v>
      </c>
      <c r="S293" s="58" t="s">
        <v>201</v>
      </c>
      <c r="T293" s="58"/>
      <c r="U293" s="25" t="s">
        <v>203</v>
      </c>
      <c r="V293" s="58" t="s">
        <v>92</v>
      </c>
      <c r="W293" s="58"/>
    </row>
    <row r="294" spans="1:23" s="35" customFormat="1" ht="15">
      <c r="A294" s="58"/>
      <c r="B294" s="58"/>
      <c r="C294" s="58"/>
      <c r="D294" s="58"/>
      <c r="E294" s="58" t="s">
        <v>93</v>
      </c>
      <c r="F294" s="58"/>
      <c r="G294" s="88" t="s">
        <v>12</v>
      </c>
      <c r="H294" s="88"/>
      <c r="I294" s="88" t="s">
        <v>191</v>
      </c>
      <c r="J294" s="88"/>
      <c r="K294" s="42" t="s">
        <v>191</v>
      </c>
      <c r="L294" s="42" t="s">
        <v>191</v>
      </c>
      <c r="M294" s="42" t="s">
        <v>191</v>
      </c>
      <c r="N294" s="89" t="s">
        <v>191</v>
      </c>
      <c r="O294" s="90"/>
      <c r="P294" s="89" t="s">
        <v>13</v>
      </c>
      <c r="Q294" s="90"/>
      <c r="R294" s="42" t="s">
        <v>13</v>
      </c>
      <c r="S294" s="89" t="s">
        <v>13</v>
      </c>
      <c r="T294" s="90"/>
      <c r="U294" s="42" t="s">
        <v>13</v>
      </c>
      <c r="V294" s="89" t="s">
        <v>13</v>
      </c>
      <c r="W294" s="90"/>
    </row>
    <row r="295" spans="1:23" ht="31.5" customHeight="1">
      <c r="A295" s="12" t="s">
        <v>15</v>
      </c>
      <c r="B295" s="92" t="s">
        <v>193</v>
      </c>
      <c r="C295" s="92"/>
      <c r="D295" s="92"/>
      <c r="E295" s="93">
        <f>'Таблица 1 перечень МКД'!H290</f>
        <v>688075.1000000002</v>
      </c>
      <c r="F295" s="93">
        <v>2462056.9299999997</v>
      </c>
      <c r="G295" s="94">
        <f>'Таблица 1 перечень МКД'!K290</f>
        <v>27705</v>
      </c>
      <c r="H295" s="94">
        <v>103339</v>
      </c>
      <c r="I295" s="95"/>
      <c r="J295" s="95"/>
      <c r="K295" s="12"/>
      <c r="L295" s="12"/>
      <c r="M295" s="12">
        <v>270</v>
      </c>
      <c r="N295" s="96">
        <v>270</v>
      </c>
      <c r="O295" s="96"/>
      <c r="P295" s="96"/>
      <c r="Q295" s="96"/>
      <c r="R295" s="20"/>
      <c r="S295" s="95"/>
      <c r="T295" s="95"/>
      <c r="U295" s="14">
        <f>C281</f>
        <v>345161549.2599998</v>
      </c>
      <c r="V295" s="93">
        <f>U295</f>
        <v>345161549.2599998</v>
      </c>
      <c r="W295" s="93">
        <v>1120238228.42</v>
      </c>
    </row>
    <row r="296" spans="1:14" ht="15">
      <c r="A296" s="38"/>
      <c r="B296" s="31"/>
      <c r="C296" s="32"/>
      <c r="D296" s="33"/>
      <c r="E296" s="38"/>
      <c r="F296" s="38"/>
      <c r="G296" s="38"/>
      <c r="H296" s="38"/>
      <c r="I296" s="38"/>
      <c r="J296" s="38"/>
      <c r="K296" s="38"/>
      <c r="L296" s="38"/>
      <c r="M296" s="32"/>
      <c r="N296" s="32"/>
    </row>
    <row r="297" spans="1:14" ht="15">
      <c r="A297" s="38"/>
      <c r="B297" s="31"/>
      <c r="C297" s="32"/>
      <c r="D297" s="33"/>
      <c r="E297" s="38"/>
      <c r="F297" s="38"/>
      <c r="G297" s="38"/>
      <c r="H297" s="38"/>
      <c r="I297" s="38"/>
      <c r="J297" s="38"/>
      <c r="K297" s="38"/>
      <c r="L297" s="38"/>
      <c r="M297" s="32"/>
      <c r="N297" s="32"/>
    </row>
    <row r="298" spans="1:14" ht="15">
      <c r="A298" s="38"/>
      <c r="B298" s="31"/>
      <c r="C298" s="32"/>
      <c r="D298" s="33"/>
      <c r="E298" s="38"/>
      <c r="F298" s="38"/>
      <c r="G298" s="38"/>
      <c r="H298" s="38"/>
      <c r="I298" s="38"/>
      <c r="J298" s="38"/>
      <c r="K298" s="38"/>
      <c r="L298" s="38"/>
      <c r="M298" s="32"/>
      <c r="N298" s="32"/>
    </row>
    <row r="299" spans="1:14" ht="15">
      <c r="A299" s="38"/>
      <c r="B299" s="31"/>
      <c r="C299" s="32"/>
      <c r="D299" s="33"/>
      <c r="E299" s="38"/>
      <c r="F299" s="38"/>
      <c r="G299" s="38"/>
      <c r="H299" s="38"/>
      <c r="I299" s="38"/>
      <c r="J299" s="38"/>
      <c r="K299" s="38"/>
      <c r="L299" s="38"/>
      <c r="M299" s="32"/>
      <c r="N299" s="32"/>
    </row>
    <row r="302" spans="1:23" s="34" customFormat="1" ht="21">
      <c r="A302" s="45" t="s">
        <v>618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5"/>
      <c r="S302" s="45"/>
      <c r="T302" s="45"/>
      <c r="U302" s="45"/>
      <c r="V302" s="46"/>
      <c r="W302" s="46"/>
    </row>
    <row r="303" spans="1:23" s="34" customFormat="1" ht="21">
      <c r="A303" s="45" t="s">
        <v>204</v>
      </c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5"/>
      <c r="S303" s="45"/>
      <c r="T303" s="45"/>
      <c r="U303" s="45"/>
      <c r="V303" s="91" t="s">
        <v>619</v>
      </c>
      <c r="W303" s="91"/>
    </row>
  </sheetData>
  <sheetProtection/>
  <mergeCells count="49">
    <mergeCell ref="V303:W303"/>
    <mergeCell ref="B295:D295"/>
    <mergeCell ref="E295:F295"/>
    <mergeCell ref="G295:H295"/>
    <mergeCell ref="I295:J295"/>
    <mergeCell ref="N295:O295"/>
    <mergeCell ref="P295:Q295"/>
    <mergeCell ref="S295:T295"/>
    <mergeCell ref="V295:W295"/>
    <mergeCell ref="P293:Q293"/>
    <mergeCell ref="S293:T293"/>
    <mergeCell ref="V293:W293"/>
    <mergeCell ref="E294:F294"/>
    <mergeCell ref="G294:H294"/>
    <mergeCell ref="I294:J294"/>
    <mergeCell ref="N294:O294"/>
    <mergeCell ref="P294:Q294"/>
    <mergeCell ref="S294:T294"/>
    <mergeCell ref="V294:W294"/>
    <mergeCell ref="V286:W286"/>
    <mergeCell ref="J6:K7"/>
    <mergeCell ref="A292:A294"/>
    <mergeCell ref="B292:D294"/>
    <mergeCell ref="E292:F293"/>
    <mergeCell ref="G292:H293"/>
    <mergeCell ref="I292:O292"/>
    <mergeCell ref="P292:W292"/>
    <mergeCell ref="I293:J293"/>
    <mergeCell ref="N293:O293"/>
    <mergeCell ref="D5:R5"/>
    <mergeCell ref="S5:W5"/>
    <mergeCell ref="M287:N287"/>
    <mergeCell ref="A290:W290"/>
    <mergeCell ref="N6:O7"/>
    <mergeCell ref="P6:Q7"/>
    <mergeCell ref="R6:R7"/>
    <mergeCell ref="S6:T7"/>
    <mergeCell ref="A10:W10"/>
    <mergeCell ref="A281:B281"/>
    <mergeCell ref="D6:I6"/>
    <mergeCell ref="W6:W7"/>
    <mergeCell ref="L6:M7"/>
    <mergeCell ref="U6:U7"/>
    <mergeCell ref="V6:V7"/>
    <mergeCell ref="V1:W1"/>
    <mergeCell ref="A3:W3"/>
    <mergeCell ref="A5:A8"/>
    <mergeCell ref="B5:B8"/>
    <mergeCell ref="C5:C7"/>
  </mergeCells>
  <printOptions/>
  <pageMargins left="0.1968503937007874" right="0.1968503937007874" top="1.1811023622047245" bottom="0.3937007874015748" header="0.31496062992125984" footer="0.31496062992125984"/>
  <pageSetup firstPageNumber="11" useFirstPageNumber="1" horizontalDpi="600" verticalDpi="600" orientation="landscape" paperSize="9" scale="4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2019-08-05T12:54:55Z</cp:lastPrinted>
  <dcterms:created xsi:type="dcterms:W3CDTF">2012-12-13T11:50:40Z</dcterms:created>
  <dcterms:modified xsi:type="dcterms:W3CDTF">2019-08-08T05:17:16Z</dcterms:modified>
  <cp:category/>
  <cp:version/>
  <cp:contentType/>
  <cp:contentStatus/>
</cp:coreProperties>
</file>